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lbl-my.sharepoint.com/personal/rhwiser_lbl_gov/Documents/Desktop/Ongoing/Retail Rates/Annual Report/Updates/"/>
    </mc:Choice>
  </mc:AlternateContent>
  <xr:revisionPtr revIDLastSave="3586" documentId="14_{59CE6F9E-85F1-4AE5-8A93-0489F06AC1AD}" xr6:coauthVersionLast="47" xr6:coauthVersionMax="47" xr10:uidLastSave="{D2D7A7B7-EAF0-4156-8BC8-F04007EB782A}"/>
  <bookViews>
    <workbookView xWindow="510" yWindow="0" windowWidth="22575" windowHeight="20985" tabRatio="898" xr2:uid="{66E64C60-BF1A-4940-8636-7FBC9031834E}"/>
  </bookViews>
  <sheets>
    <sheet name="Introduction" sheetId="1" r:id="rId1"/>
    <sheet name="Contents" sheetId="2" r:id="rId2"/>
    <sheet name="Inflation adjustment" sheetId="3" r:id="rId3"/>
    <sheet name="National average retail price" sheetId="4" r:id="rId4"/>
    <sheet name="Average price trends by sector" sheetId="6" r:id="rId5"/>
    <sheet name="Indexed household expenditures" sheetId="7" r:id="rId6"/>
    <sheet name="Res bills % expenditure&amp;income" sheetId="64" r:id="rId7"/>
    <sheet name="Change residential expenditures" sheetId="65" r:id="rId8"/>
    <sheet name="Share of change by income" sheetId="66" r:id="rId9"/>
    <sheet name="State retail prices in 2025" sheetId="9" r:id="rId10"/>
    <sheet name="Change in state retail prices" sheetId="10" r:id="rId11"/>
    <sheet name="Change in residential prices" sheetId="53" r:id="rId12"/>
    <sheet name="Residential prices in 2025" sheetId="11" r:id="rId13"/>
    <sheet name="Residential bills in 2025" sheetId="13" r:id="rId14"/>
    <sheet name="State electricity burden" sheetId="67" r:id="rId15"/>
    <sheet name="Electricity burden by income" sheetId="44" r:id="rId16"/>
    <sheet name="Regional burden by income" sheetId="45" r:id="rId17"/>
    <sheet name="Energy insecurity" sheetId="74" r:id="rId18"/>
    <sheet name="Change in state prices 2024-25" sheetId="14" r:id="rId19"/>
    <sheet name="Change in res. prices 2024-25" sheetId="15" r:id="rId20"/>
    <sheet name="Primary drivers of price change" sheetId="16" r:id="rId21"/>
    <sheet name="Natural gas forecast &amp; actual " sheetId="17" r:id="rId22"/>
    <sheet name="Nat'l wholesale energy prices" sheetId="46" r:id="rId23"/>
    <sheet name="Wholesale &amp; gas price change" sheetId="49" r:id="rId24"/>
    <sheet name="PJM capacity prices" sheetId="39" r:id="rId25"/>
    <sheet name="IOU generation CapEx" sheetId="58" r:id="rId26"/>
    <sheet name="IOU distribution costs" sheetId="56" r:id="rId27"/>
    <sheet name="ISO-NE transmission costs" sheetId="40" r:id="rId28"/>
    <sheet name="Distribution price estimates" sheetId="55" r:id="rId29"/>
    <sheet name="Transmission price estimates" sheetId="42" r:id="rId30"/>
    <sheet name="Bus. operations cost estimates" sheetId="61" r:id="rId31"/>
    <sheet name="IOU T&amp;D relative to total price" sheetId="54" r:id="rId32"/>
    <sheet name="Type of T&amp;D investment" sheetId="48" r:id="rId33"/>
    <sheet name="T&amp;D equipment costs" sheetId="38" r:id="rId34"/>
    <sheet name="Storm recovery impacts" sheetId="28" r:id="rId35"/>
    <sheet name="Wildfire mitigation impacts" sheetId="29" r:id="rId36"/>
    <sheet name="State RPS" sheetId="59" r:id="rId37"/>
    <sheet name="Net metering" sheetId="60" r:id="rId38"/>
    <sheet name="Carbon cap-and-trade" sheetId="41" r:id="rId39"/>
    <sheet name="Utility-scale wind and solar" sheetId="30" r:id="rId40"/>
    <sheet name="Average gas share" sheetId="31" r:id="rId41"/>
    <sheet name="Regional gas price fluctuations" sheetId="73" r:id="rId42"/>
    <sheet name="Average coal and nuclear share" sheetId="32" r:id="rId43"/>
    <sheet name="Thermal plant retirements" sheetId="63" r:id="rId44"/>
    <sheet name="Capacity markets" sheetId="43" r:id="rId45"/>
    <sheet name="IOU Interest+Income" sheetId="62" r:id="rId46"/>
    <sheet name="Supplier type and prices" sheetId="57" r:id="rId47"/>
    <sheet name="Growth in national retail sales" sheetId="18" r:id="rId48"/>
    <sheet name="State growth in retail sales" sheetId="20" r:id="rId49"/>
    <sheet name="State load growth vs. prices" sheetId="33" r:id="rId50"/>
    <sheet name="ND, NM, NE load vs price" sheetId="23" r:id="rId51"/>
    <sheet name="ND, NM, NE sectoral impacts" sheetId="24" r:id="rId52"/>
    <sheet name="ND, NM, NE generation stacks" sheetId="25" r:id="rId53"/>
    <sheet name="PJM capacity auction prices" sheetId="26" r:id="rId54"/>
    <sheet name="National prices, by sector" sheetId="27" r:id="rId55"/>
    <sheet name="C&amp;I discount, by state" sheetId="68" r:id="rId56"/>
    <sheet name="Load growth possible benefits" sheetId="72" r:id="rId57"/>
    <sheet name="Most-recent retail price change" sheetId="34" r:id="rId58"/>
    <sheet name="Utility rate change requests" sheetId="35" r:id="rId59"/>
    <sheet name="Rate increase approvals" sheetId="36" r:id="rId60"/>
    <sheet name="Regional rate approvals" sheetId="47" r:id="rId61"/>
    <sheet name="Utility ROE requests" sheetId="50" r:id="rId62"/>
    <sheet name="Utility ROE authorizations" sheetId="51" r:id="rId63"/>
    <sheet name="Annual IOU CapEx" sheetId="69" r:id="rId64"/>
    <sheet name="Natural gas plant costs" sheetId="70" r:id="rId65"/>
    <sheet name="Solar and wind PPA prices" sheetId="71" r:id="rId66"/>
  </sheets>
  <definedNames>
    <definedName name="_xlnm._FilterDatabase" localSheetId="63" hidden="1">'Annual IOU CapEx'!$A$4:$G$17</definedName>
    <definedName name="_xlnm._FilterDatabase" localSheetId="7" hidden="1">'Change residential expenditures'!#REF!</definedName>
    <definedName name="_xlnm._FilterDatabase" localSheetId="25" hidden="1">'IOU generation CapEx'!$A$4:$G$17</definedName>
    <definedName name="_xlnm._FilterDatabase" localSheetId="50" hidden="1">'ND, NM, NE load vs price'!$A$4:$G$55</definedName>
    <definedName name="_xlnm._FilterDatabase" localSheetId="8" hidden="1">'Share of change by income'!#REF!</definedName>
    <definedName name="_xlnm._FilterDatabase" localSheetId="48" hidden="1">'State growth in retail sales'!$A$4:$M$66</definedName>
    <definedName name="_xlnm._FilterDatabase" localSheetId="49" hidden="1">'State load growth vs. prices'!$A$4:$F$55</definedName>
    <definedName name="_xlnm._FilterDatabase" localSheetId="46" hidden="1">'Supplier type and prices'!$A$6:$D$14</definedName>
    <definedName name="heid_259464" localSheetId="14">'State electricity burden'!$AQ$7</definedName>
    <definedName name="heid_259465" localSheetId="14">'State electricity burden'!$AQ$8</definedName>
    <definedName name="heid_259466" localSheetId="14">'State electricity burden'!$AQ$9</definedName>
    <definedName name="heid_259467" localSheetId="14">'State electricity burden'!$AQ$10</definedName>
    <definedName name="heid_259468" localSheetId="14">'State electricity burden'!$AQ$11</definedName>
    <definedName name="heid_259469" localSheetId="14">'State electricity burden'!$AQ$12</definedName>
    <definedName name="heid_259470" localSheetId="14">'State electricity burden'!$AQ$13</definedName>
    <definedName name="heid_259471" localSheetId="14">'State electricity burden'!$AQ$14</definedName>
    <definedName name="heid_259472" localSheetId="14">'State electricity burden'!$AQ$15</definedName>
    <definedName name="heid_259473" localSheetId="14">'State electricity burden'!$AQ$16</definedName>
    <definedName name="heid_259474" localSheetId="14">'State electricity burden'!$AQ$17</definedName>
    <definedName name="heid_259475" localSheetId="14">'State electricity burden'!$AQ$18</definedName>
    <definedName name="heid_259476" localSheetId="14">'State electricity burden'!$AQ$19</definedName>
    <definedName name="heid_259477" localSheetId="14">'State electricity burden'!$AQ$20</definedName>
    <definedName name="heid_259478" localSheetId="14">'State electricity burden'!$AQ$21</definedName>
    <definedName name="heid_259479" localSheetId="14">'State electricity burden'!$AQ$22</definedName>
    <definedName name="heid_259480" localSheetId="14">'State electricity burden'!$AQ$23</definedName>
    <definedName name="heid_259481" localSheetId="14">'State electricity burden'!$AQ$24</definedName>
    <definedName name="heid_259482" localSheetId="14">'State electricity burden'!$AQ$25</definedName>
    <definedName name="heid_259483" localSheetId="14">'State electricity burden'!$AQ$26</definedName>
    <definedName name="heid_259484" localSheetId="14">'State electricity burden'!$AQ$27</definedName>
    <definedName name="heid_259485" localSheetId="14">'State electricity burden'!$AQ$28</definedName>
    <definedName name="heid_259486" localSheetId="14">'State electricity burden'!$AQ$29</definedName>
    <definedName name="heid_259487" localSheetId="14">'State electricity burden'!$AQ$30</definedName>
    <definedName name="heid_259488" localSheetId="14">'State electricity burden'!$AQ$31</definedName>
    <definedName name="heid_259489" localSheetId="14">'State electricity burden'!$AQ$32</definedName>
    <definedName name="heid_259490" localSheetId="14">'State electricity burden'!$AQ$33</definedName>
    <definedName name="heid_259491" localSheetId="14">'State electricity burden'!$AQ$34</definedName>
    <definedName name="heid_259492" localSheetId="14">'State electricity burden'!$AQ$35</definedName>
    <definedName name="heid_259493" localSheetId="14">'State electricity burden'!$AQ$36</definedName>
    <definedName name="heid_259494" localSheetId="14">'State electricity burden'!$AQ$37</definedName>
    <definedName name="heid_259495" localSheetId="14">'State electricity burden'!$AQ$38</definedName>
    <definedName name="heid_259496" localSheetId="14">'State electricity burden'!$AQ$39</definedName>
    <definedName name="heid_259497" localSheetId="14">'State electricity burden'!$AQ$40</definedName>
    <definedName name="heid_259498" localSheetId="14">'State electricity burden'!$AQ$41</definedName>
    <definedName name="heid_259499" localSheetId="14">'State electricity burden'!$AQ$42</definedName>
    <definedName name="heid_259500" localSheetId="14">'State electricity burden'!$AQ$43</definedName>
    <definedName name="heid_259501" localSheetId="14">'State electricity burden'!$AQ$44</definedName>
    <definedName name="heid_259502" localSheetId="14">'State electricity burden'!$AQ$45</definedName>
    <definedName name="heid_259503" localSheetId="14">'State electricity burden'!$AQ$46</definedName>
    <definedName name="heid_259504" localSheetId="14">'State electricity burden'!$AQ$47</definedName>
    <definedName name="heid_259505" localSheetId="14">'State electricity burden'!$AQ$48</definedName>
    <definedName name="heid_259506" localSheetId="14">'State electricity burden'!$AQ$49</definedName>
    <definedName name="heid_259507" localSheetId="14">'State electricity burden'!$AQ$50</definedName>
    <definedName name="heid_259508" localSheetId="14">'State electricity burden'!$AQ$51</definedName>
    <definedName name="heid_259509" localSheetId="14">'State electricity burden'!$AQ$52</definedName>
    <definedName name="heid_259510" localSheetId="14">'State electricity burden'!$AQ$53</definedName>
    <definedName name="heid_259511" localSheetId="14">'State electricity burden'!$AQ$54</definedName>
    <definedName name="heid_259512" localSheetId="14">'State electricity burden'!$AQ$55</definedName>
    <definedName name="heid_259513" localSheetId="14">'State electricity burden'!$AQ$56</definedName>
    <definedName name="heid_259514" localSheetId="14">'State electricity burden'!$AQ$57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64" l="1"/>
  <c r="AE15" i="73"/>
  <c r="D6" i="59"/>
  <c r="D7" i="59"/>
  <c r="D8" i="59"/>
  <c r="D9" i="59"/>
  <c r="D10" i="59"/>
  <c r="D11" i="59"/>
  <c r="D12" i="59"/>
  <c r="D13" i="59"/>
  <c r="D14" i="59"/>
  <c r="D15" i="59"/>
  <c r="D16" i="59"/>
  <c r="D17" i="59"/>
  <c r="D18" i="59"/>
  <c r="D19" i="59"/>
  <c r="D20" i="59"/>
  <c r="D21" i="59"/>
  <c r="D22" i="59"/>
  <c r="D23" i="59"/>
  <c r="D24" i="59"/>
  <c r="D25" i="59"/>
  <c r="D26" i="59"/>
  <c r="E21" i="64"/>
  <c r="G21" i="64"/>
  <c r="AH22" i="73"/>
  <c r="AH21" i="73"/>
  <c r="AH20" i="73"/>
  <c r="AH19" i="73"/>
  <c r="AH18" i="73"/>
  <c r="AH17" i="73"/>
  <c r="AH16" i="73"/>
  <c r="AH15" i="73"/>
  <c r="AG22" i="73"/>
  <c r="AG21" i="73"/>
  <c r="AG20" i="73"/>
  <c r="AG19" i="73"/>
  <c r="AG18" i="73"/>
  <c r="AG17" i="73"/>
  <c r="AG16" i="73"/>
  <c r="AG15" i="73"/>
  <c r="AG14" i="73"/>
  <c r="AG13" i="73"/>
  <c r="AG12" i="73"/>
  <c r="AG11" i="73"/>
  <c r="AG10" i="73"/>
  <c r="AG9" i="73"/>
  <c r="AG8" i="73"/>
  <c r="AG7" i="73"/>
  <c r="AE22" i="73"/>
  <c r="AE21" i="73"/>
  <c r="AE20" i="73"/>
  <c r="AE19" i="73"/>
  <c r="AE18" i="73"/>
  <c r="AE17" i="73"/>
  <c r="AE16" i="73"/>
  <c r="AD22" i="73"/>
  <c r="AD21" i="73"/>
  <c r="AD20" i="73"/>
  <c r="AD19" i="73"/>
  <c r="AD18" i="73"/>
  <c r="AD17" i="73"/>
  <c r="AD16" i="73"/>
  <c r="AD15" i="73"/>
  <c r="AD14" i="73"/>
  <c r="AD13" i="73"/>
  <c r="AD12" i="73"/>
  <c r="AD11" i="73"/>
  <c r="AD10" i="73"/>
  <c r="AD9" i="73"/>
  <c r="AD8" i="73"/>
  <c r="AD7" i="73"/>
  <c r="AB22" i="73"/>
  <c r="AB21" i="73"/>
  <c r="AB20" i="73"/>
  <c r="AB19" i="73"/>
  <c r="AB18" i="73"/>
  <c r="AB17" i="73"/>
  <c r="AB16" i="73"/>
  <c r="AB15" i="73"/>
  <c r="AB14" i="73"/>
  <c r="AB13" i="73"/>
  <c r="AB12" i="73"/>
  <c r="AB11" i="73"/>
  <c r="Z22" i="73"/>
  <c r="Z21" i="73"/>
  <c r="Z20" i="73"/>
  <c r="Z19" i="73"/>
  <c r="Z18" i="73"/>
  <c r="Z17" i="73"/>
  <c r="Z16" i="73"/>
  <c r="Z15" i="73"/>
  <c r="Z14" i="73"/>
  <c r="Z13" i="73"/>
  <c r="Z12" i="73"/>
  <c r="Z11" i="73"/>
  <c r="Z10" i="73"/>
  <c r="Z9" i="73"/>
  <c r="Z8" i="73"/>
  <c r="Z7" i="73"/>
  <c r="X22" i="73"/>
  <c r="X21" i="73"/>
  <c r="X20" i="73"/>
  <c r="X19" i="73"/>
  <c r="X18" i="73"/>
  <c r="X17" i="73"/>
  <c r="X16" i="73"/>
  <c r="X15" i="73"/>
  <c r="X14" i="73"/>
  <c r="X13" i="73"/>
  <c r="X12" i="73"/>
  <c r="X11" i="73"/>
  <c r="V22" i="73"/>
  <c r="V21" i="73"/>
  <c r="V20" i="73"/>
  <c r="V19" i="73"/>
  <c r="V18" i="73"/>
  <c r="V17" i="73"/>
  <c r="V16" i="73"/>
  <c r="V15" i="73"/>
  <c r="V14" i="73"/>
  <c r="V13" i="73"/>
  <c r="V12" i="73"/>
  <c r="V11" i="73"/>
  <c r="V10" i="73"/>
  <c r="V9" i="73"/>
  <c r="V8" i="73"/>
  <c r="V7" i="73"/>
  <c r="T22" i="73"/>
  <c r="T21" i="73"/>
  <c r="T20" i="73"/>
  <c r="T19" i="73"/>
  <c r="T18" i="73"/>
  <c r="T17" i="73"/>
  <c r="T16" i="73"/>
  <c r="T15" i="73"/>
  <c r="T14" i="73"/>
  <c r="T13" i="73"/>
  <c r="T12" i="73"/>
  <c r="T11" i="73"/>
  <c r="R22" i="73"/>
  <c r="R21" i="73"/>
  <c r="R20" i="73"/>
  <c r="R19" i="73"/>
  <c r="R18" i="73"/>
  <c r="R17" i="73"/>
  <c r="R16" i="73"/>
  <c r="R15" i="73"/>
  <c r="R14" i="73"/>
  <c r="R13" i="73"/>
  <c r="R12" i="73"/>
  <c r="R11" i="73"/>
  <c r="R10" i="73"/>
  <c r="R9" i="73"/>
  <c r="R8" i="73"/>
  <c r="R7" i="73"/>
  <c r="P22" i="73"/>
  <c r="P21" i="73"/>
  <c r="P20" i="73"/>
  <c r="P19" i="73"/>
  <c r="P18" i="73"/>
  <c r="P17" i="73"/>
  <c r="P16" i="73"/>
  <c r="P15" i="73"/>
  <c r="P14" i="73"/>
  <c r="P13" i="73"/>
  <c r="P12" i="73"/>
  <c r="P11" i="73"/>
  <c r="N22" i="73"/>
  <c r="N21" i="73"/>
  <c r="N20" i="73"/>
  <c r="N19" i="73"/>
  <c r="N18" i="73"/>
  <c r="N17" i="73"/>
  <c r="N16" i="73"/>
  <c r="N15" i="73"/>
  <c r="N14" i="73"/>
  <c r="N13" i="73"/>
  <c r="N12" i="73"/>
  <c r="N11" i="73"/>
  <c r="N10" i="73"/>
  <c r="N9" i="73"/>
  <c r="N8" i="73"/>
  <c r="N7" i="73"/>
  <c r="L22" i="73"/>
  <c r="L21" i="73"/>
  <c r="L20" i="73"/>
  <c r="L19" i="73"/>
  <c r="L18" i="73"/>
  <c r="L17" i="73"/>
  <c r="L16" i="73"/>
  <c r="L15" i="73"/>
  <c r="L14" i="73"/>
  <c r="L13" i="73"/>
  <c r="L12" i="73"/>
  <c r="L11" i="73"/>
  <c r="J22" i="73"/>
  <c r="J21" i="73"/>
  <c r="J20" i="73"/>
  <c r="J19" i="73"/>
  <c r="J18" i="73"/>
  <c r="J17" i="73"/>
  <c r="J16" i="73"/>
  <c r="J15" i="73"/>
  <c r="J14" i="73"/>
  <c r="J13" i="73"/>
  <c r="J12" i="73"/>
  <c r="J11" i="73"/>
  <c r="J10" i="73"/>
  <c r="J9" i="73"/>
  <c r="J8" i="73"/>
  <c r="J7" i="73"/>
  <c r="H22" i="73"/>
  <c r="H21" i="73"/>
  <c r="H20" i="73"/>
  <c r="H19" i="73"/>
  <c r="H18" i="73"/>
  <c r="H17" i="73"/>
  <c r="H16" i="73"/>
  <c r="H15" i="73"/>
  <c r="H14" i="73"/>
  <c r="H13" i="73"/>
  <c r="H12" i="73"/>
  <c r="H11" i="73"/>
  <c r="F22" i="73"/>
  <c r="F21" i="73"/>
  <c r="F20" i="73"/>
  <c r="F19" i="73"/>
  <c r="F18" i="73"/>
  <c r="F17" i="73"/>
  <c r="F16" i="73"/>
  <c r="F15" i="73"/>
  <c r="F14" i="73"/>
  <c r="F13" i="73"/>
  <c r="F12" i="73"/>
  <c r="F11" i="73"/>
  <c r="F10" i="73"/>
  <c r="F9" i="73"/>
  <c r="F8" i="73"/>
  <c r="F7" i="73"/>
  <c r="D11" i="73"/>
  <c r="D22" i="73"/>
  <c r="B22" i="73"/>
  <c r="D21" i="73"/>
  <c r="B21" i="73"/>
  <c r="D20" i="73"/>
  <c r="B20" i="73"/>
  <c r="D19" i="73"/>
  <c r="B19" i="73"/>
  <c r="D18" i="73"/>
  <c r="B18" i="73"/>
  <c r="D17" i="73"/>
  <c r="B17" i="73"/>
  <c r="D16" i="73"/>
  <c r="B16" i="73"/>
  <c r="D15" i="73"/>
  <c r="B15" i="73"/>
  <c r="D14" i="73"/>
  <c r="B14" i="73"/>
  <c r="D13" i="73"/>
  <c r="B13" i="73"/>
  <c r="D12" i="73"/>
  <c r="B12" i="73"/>
  <c r="B11" i="73"/>
  <c r="B10" i="73"/>
  <c r="B9" i="73"/>
  <c r="B8" i="73"/>
  <c r="B7" i="73"/>
  <c r="AA43" i="73"/>
  <c r="AA42" i="73"/>
  <c r="AA41" i="73"/>
  <c r="AA40" i="73"/>
  <c r="AA39" i="73"/>
  <c r="AA38" i="73"/>
  <c r="AA37" i="73"/>
  <c r="AA36" i="73"/>
  <c r="AA35" i="73"/>
  <c r="AA34" i="73"/>
  <c r="AA33" i="73"/>
  <c r="AA32" i="73"/>
  <c r="AA31" i="73"/>
  <c r="AA30" i="73"/>
  <c r="AA29" i="73"/>
  <c r="AA28" i="73"/>
  <c r="W43" i="73"/>
  <c r="W42" i="73"/>
  <c r="W41" i="73"/>
  <c r="W40" i="73"/>
  <c r="W39" i="73"/>
  <c r="W38" i="73"/>
  <c r="W37" i="73"/>
  <c r="W36" i="73"/>
  <c r="W35" i="73"/>
  <c r="W34" i="73"/>
  <c r="W33" i="73"/>
  <c r="W32" i="73"/>
  <c r="W31" i="73"/>
  <c r="W30" i="73"/>
  <c r="W29" i="73"/>
  <c r="W28" i="73"/>
  <c r="S43" i="73"/>
  <c r="S42" i="73"/>
  <c r="S41" i="73"/>
  <c r="S40" i="73"/>
  <c r="S39" i="73"/>
  <c r="S38" i="73"/>
  <c r="S37" i="73"/>
  <c r="S36" i="73"/>
  <c r="S35" i="73"/>
  <c r="S34" i="73"/>
  <c r="S33" i="73"/>
  <c r="S32" i="73"/>
  <c r="S31" i="73"/>
  <c r="S30" i="73"/>
  <c r="S29" i="73"/>
  <c r="S28" i="73"/>
  <c r="O43" i="73"/>
  <c r="O42" i="73"/>
  <c r="O41" i="73"/>
  <c r="O40" i="73"/>
  <c r="O39" i="73"/>
  <c r="O38" i="73"/>
  <c r="O37" i="73"/>
  <c r="O36" i="73"/>
  <c r="O35" i="73"/>
  <c r="O34" i="73"/>
  <c r="O33" i="73"/>
  <c r="O32" i="73"/>
  <c r="O31" i="73"/>
  <c r="O30" i="73"/>
  <c r="O29" i="73"/>
  <c r="O28" i="73"/>
  <c r="K43" i="73"/>
  <c r="K42" i="73"/>
  <c r="K41" i="73"/>
  <c r="K40" i="73"/>
  <c r="K39" i="73"/>
  <c r="K38" i="73"/>
  <c r="K37" i="73"/>
  <c r="K36" i="73"/>
  <c r="K35" i="73"/>
  <c r="K34" i="73"/>
  <c r="K33" i="73"/>
  <c r="K32" i="73"/>
  <c r="K31" i="73"/>
  <c r="K30" i="73"/>
  <c r="K29" i="73"/>
  <c r="K28" i="73"/>
  <c r="G43" i="73"/>
  <c r="G42" i="73"/>
  <c r="G41" i="73"/>
  <c r="G40" i="73"/>
  <c r="G39" i="73"/>
  <c r="G38" i="73"/>
  <c r="G37" i="73"/>
  <c r="G36" i="73"/>
  <c r="G35" i="73"/>
  <c r="G34" i="73"/>
  <c r="G33" i="73"/>
  <c r="G32" i="73"/>
  <c r="G31" i="73"/>
  <c r="G30" i="73"/>
  <c r="G29" i="73"/>
  <c r="G28" i="73"/>
  <c r="C43" i="73"/>
  <c r="C42" i="73"/>
  <c r="C41" i="73"/>
  <c r="C40" i="73"/>
  <c r="C39" i="73"/>
  <c r="C38" i="73"/>
  <c r="C37" i="73"/>
  <c r="C36" i="73"/>
  <c r="C35" i="73"/>
  <c r="C34" i="73"/>
  <c r="C33" i="73"/>
  <c r="C32" i="73"/>
  <c r="C31" i="73"/>
  <c r="C30" i="73"/>
  <c r="C29" i="73"/>
  <c r="C28" i="73"/>
  <c r="X6" i="65"/>
  <c r="L12" i="65"/>
  <c r="K12" i="65"/>
  <c r="J12" i="65"/>
  <c r="I12" i="65"/>
  <c r="H12" i="65"/>
  <c r="G12" i="65"/>
  <c r="F21" i="64"/>
  <c r="B21" i="64"/>
  <c r="M21" i="64"/>
  <c r="I21" i="64"/>
  <c r="AY6" i="67"/>
  <c r="BA6" i="67"/>
  <c r="E12" i="58"/>
  <c r="B5" i="31"/>
  <c r="H7" i="68"/>
  <c r="L7" i="68"/>
  <c r="E6" i="34"/>
  <c r="M88" i="38"/>
  <c r="M87" i="38"/>
  <c r="M86" i="38"/>
  <c r="M85" i="38"/>
  <c r="M84" i="38"/>
  <c r="M83" i="38"/>
  <c r="M82" i="38"/>
  <c r="M81" i="38"/>
  <c r="M80" i="38"/>
  <c r="M79" i="38"/>
  <c r="M78" i="38"/>
  <c r="M77" i="38"/>
  <c r="M76" i="38"/>
  <c r="M75" i="38"/>
  <c r="M74" i="38"/>
  <c r="M73" i="38"/>
  <c r="M72" i="38"/>
  <c r="M71" i="38"/>
  <c r="M70" i="38"/>
  <c r="M69" i="38"/>
  <c r="M68" i="38"/>
  <c r="M67" i="38"/>
  <c r="M66" i="38"/>
  <c r="M65" i="38"/>
  <c r="M64" i="38"/>
  <c r="M63" i="38"/>
  <c r="M62" i="38"/>
  <c r="M61" i="38"/>
  <c r="M60" i="38"/>
  <c r="M59" i="38"/>
  <c r="M58" i="38"/>
  <c r="M57" i="38"/>
  <c r="M56" i="38"/>
  <c r="M55" i="38"/>
  <c r="M54" i="38"/>
  <c r="M53" i="38"/>
  <c r="M52" i="38"/>
  <c r="M51" i="38"/>
  <c r="M50" i="38"/>
  <c r="M49" i="38"/>
  <c r="M48" i="38"/>
  <c r="M47" i="38"/>
  <c r="M46" i="38"/>
  <c r="M45" i="38"/>
  <c r="M44" i="38"/>
  <c r="M43" i="38"/>
  <c r="M42" i="38"/>
  <c r="M41" i="38"/>
  <c r="M40" i="38"/>
  <c r="M39" i="38"/>
  <c r="M38" i="38"/>
  <c r="M37" i="38"/>
  <c r="M36" i="38"/>
  <c r="M35" i="38"/>
  <c r="M34" i="38"/>
  <c r="M33" i="38"/>
  <c r="M32" i="38"/>
  <c r="M31" i="38"/>
  <c r="M30" i="38"/>
  <c r="M29" i="38"/>
  <c r="M28" i="38"/>
  <c r="M27" i="38"/>
  <c r="M26" i="38"/>
  <c r="M25" i="38"/>
  <c r="M24" i="38"/>
  <c r="M23" i="38"/>
  <c r="M22" i="38"/>
  <c r="M21" i="38"/>
  <c r="M19" i="38"/>
  <c r="M18" i="38"/>
  <c r="M17" i="38"/>
  <c r="M16" i="38"/>
  <c r="M15" i="38"/>
  <c r="M14" i="38"/>
  <c r="M13" i="38"/>
  <c r="M12" i="38"/>
  <c r="M11" i="38"/>
  <c r="M8" i="38"/>
  <c r="M7" i="38"/>
  <c r="M5" i="38"/>
  <c r="H9" i="70"/>
  <c r="G9" i="70"/>
  <c r="C9" i="70"/>
  <c r="B9" i="70"/>
  <c r="H8" i="70"/>
  <c r="G8" i="70"/>
  <c r="H7" i="70"/>
  <c r="G7" i="70"/>
  <c r="C8" i="70"/>
  <c r="C7" i="70"/>
  <c r="B8" i="70"/>
  <c r="AA25" i="70"/>
  <c r="AA24" i="70"/>
  <c r="AA20" i="70"/>
  <c r="V25" i="70"/>
  <c r="Q25" i="70"/>
  <c r="AA23" i="70"/>
  <c r="AA22" i="70"/>
  <c r="AA21" i="70"/>
  <c r="Q24" i="70"/>
  <c r="Q23" i="70"/>
  <c r="Q22" i="70"/>
  <c r="Q21" i="70"/>
  <c r="Q20" i="70"/>
  <c r="L25" i="70"/>
  <c r="S13" i="70"/>
  <c r="N13" i="70"/>
  <c r="B12" i="71"/>
  <c r="F25" i="3"/>
  <c r="E25" i="3"/>
  <c r="D25" i="3"/>
  <c r="C25" i="3"/>
  <c r="B25" i="3"/>
  <c r="F24" i="3"/>
  <c r="E24" i="3"/>
  <c r="D24" i="3"/>
  <c r="C24" i="3"/>
  <c r="B24" i="3"/>
  <c r="F23" i="3"/>
  <c r="E23" i="3"/>
  <c r="D23" i="3"/>
  <c r="C23" i="3"/>
  <c r="B23" i="3"/>
  <c r="F22" i="3"/>
  <c r="E22" i="3"/>
  <c r="D22" i="3"/>
  <c r="C22" i="3"/>
  <c r="B22" i="3"/>
  <c r="F21" i="3"/>
  <c r="E21" i="3"/>
  <c r="D21" i="3"/>
  <c r="C21" i="3"/>
  <c r="B21" i="3"/>
  <c r="C12" i="71"/>
  <c r="AC13" i="70"/>
  <c r="AA12" i="70"/>
  <c r="AA11" i="70"/>
  <c r="AA10" i="70"/>
  <c r="AA9" i="70"/>
  <c r="AA8" i="70"/>
  <c r="AC8" i="70" s="1"/>
  <c r="Q8" i="70"/>
  <c r="Q12" i="70"/>
  <c r="Q11" i="70"/>
  <c r="Q10" i="70"/>
  <c r="Q9" i="70"/>
  <c r="B12" i="69"/>
  <c r="B11" i="69"/>
  <c r="B10" i="69"/>
  <c r="B9" i="69"/>
  <c r="B8" i="69"/>
  <c r="B7" i="69"/>
  <c r="B6" i="69"/>
  <c r="B5" i="69"/>
  <c r="X13" i="70"/>
  <c r="B7" i="70" s="1"/>
  <c r="AB12" i="70"/>
  <c r="AC12" i="70"/>
  <c r="X12" i="70"/>
  <c r="R12" i="70"/>
  <c r="S12" i="70"/>
  <c r="N12" i="70"/>
  <c r="AB11" i="70"/>
  <c r="AC11" i="70"/>
  <c r="X11" i="70"/>
  <c r="R11" i="70"/>
  <c r="S11" i="70"/>
  <c r="N11" i="70"/>
  <c r="AB10" i="70"/>
  <c r="AC10" i="70"/>
  <c r="X10" i="70"/>
  <c r="R10" i="70"/>
  <c r="S10" i="70"/>
  <c r="N10" i="70"/>
  <c r="AB9" i="70"/>
  <c r="AC9" i="70" s="1"/>
  <c r="X9" i="70"/>
  <c r="R9" i="70"/>
  <c r="S9" i="70"/>
  <c r="N9" i="70"/>
  <c r="AB8" i="70"/>
  <c r="X8" i="70"/>
  <c r="R8" i="70"/>
  <c r="S8" i="70" s="1"/>
  <c r="N8" i="70"/>
  <c r="P6" i="38"/>
  <c r="P7" i="38"/>
  <c r="P8" i="38"/>
  <c r="P9" i="38"/>
  <c r="P10" i="38"/>
  <c r="P11" i="38"/>
  <c r="P12" i="38"/>
  <c r="P13" i="38"/>
  <c r="P14" i="38"/>
  <c r="P15" i="38"/>
  <c r="P16" i="38"/>
  <c r="P17" i="38"/>
  <c r="P18" i="38"/>
  <c r="P19" i="38"/>
  <c r="P20" i="38"/>
  <c r="P21" i="38"/>
  <c r="P22" i="38"/>
  <c r="P23" i="38"/>
  <c r="P24" i="38"/>
  <c r="P25" i="38"/>
  <c r="P26" i="38"/>
  <c r="P27" i="38"/>
  <c r="P28" i="38"/>
  <c r="P29" i="38"/>
  <c r="P30" i="38"/>
  <c r="P31" i="38"/>
  <c r="P32" i="38"/>
  <c r="P33" i="38"/>
  <c r="P34" i="38"/>
  <c r="P35" i="38"/>
  <c r="P36" i="38"/>
  <c r="P37" i="38"/>
  <c r="P38" i="38"/>
  <c r="P39" i="38"/>
  <c r="P40" i="38"/>
  <c r="P41" i="38"/>
  <c r="P42" i="38"/>
  <c r="P43" i="38"/>
  <c r="P44" i="38"/>
  <c r="P45" i="38"/>
  <c r="P46" i="38"/>
  <c r="P47" i="38"/>
  <c r="P48" i="38"/>
  <c r="P49" i="38"/>
  <c r="P50" i="38"/>
  <c r="P51" i="38"/>
  <c r="P52" i="38"/>
  <c r="P53" i="38"/>
  <c r="P54" i="38"/>
  <c r="P55" i="38"/>
  <c r="P56" i="38"/>
  <c r="P57" i="38"/>
  <c r="P58" i="38"/>
  <c r="P59" i="38"/>
  <c r="P60" i="38"/>
  <c r="P61" i="38"/>
  <c r="P62" i="38"/>
  <c r="P63" i="38"/>
  <c r="P64" i="38"/>
  <c r="P65" i="38"/>
  <c r="P66" i="38"/>
  <c r="P67" i="38"/>
  <c r="P68" i="38"/>
  <c r="P69" i="38"/>
  <c r="P70" i="38"/>
  <c r="P71" i="38"/>
  <c r="P72" i="38"/>
  <c r="P73" i="38"/>
  <c r="P74" i="38"/>
  <c r="P75" i="38"/>
  <c r="P76" i="38"/>
  <c r="P77" i="38"/>
  <c r="P78" i="38"/>
  <c r="P79" i="38"/>
  <c r="P80" i="38"/>
  <c r="P81" i="38"/>
  <c r="P82" i="38"/>
  <c r="P83" i="38"/>
  <c r="P84" i="38"/>
  <c r="P85" i="38"/>
  <c r="P86" i="38"/>
  <c r="P87" i="38"/>
  <c r="P88" i="38"/>
  <c r="O6" i="38"/>
  <c r="O7" i="38"/>
  <c r="O8" i="38"/>
  <c r="O9" i="38"/>
  <c r="O10" i="38"/>
  <c r="O11" i="38"/>
  <c r="O12" i="38"/>
  <c r="O13" i="38"/>
  <c r="O14" i="38"/>
  <c r="O15" i="38"/>
  <c r="O16" i="38"/>
  <c r="O17" i="38"/>
  <c r="O18" i="38"/>
  <c r="O19" i="38"/>
  <c r="O20" i="38"/>
  <c r="O21" i="38"/>
  <c r="O22" i="38"/>
  <c r="O23" i="38"/>
  <c r="O24" i="38"/>
  <c r="O25" i="38"/>
  <c r="O26" i="38"/>
  <c r="O27" i="38"/>
  <c r="O28" i="38"/>
  <c r="O29" i="38"/>
  <c r="O30" i="38"/>
  <c r="O31" i="38"/>
  <c r="O32" i="38"/>
  <c r="O33" i="38"/>
  <c r="O34" i="38"/>
  <c r="O35" i="38"/>
  <c r="O36" i="38"/>
  <c r="O37" i="38"/>
  <c r="O38" i="38"/>
  <c r="O39" i="38"/>
  <c r="O40" i="38"/>
  <c r="O41" i="38"/>
  <c r="O42" i="38"/>
  <c r="O43" i="38"/>
  <c r="O44" i="38"/>
  <c r="O45" i="38"/>
  <c r="O46" i="38"/>
  <c r="O47" i="38"/>
  <c r="O48" i="38"/>
  <c r="O49" i="38"/>
  <c r="O50" i="38"/>
  <c r="O51" i="38"/>
  <c r="O52" i="38"/>
  <c r="O53" i="38"/>
  <c r="O54" i="38"/>
  <c r="O55" i="38"/>
  <c r="O56" i="38"/>
  <c r="O57" i="38"/>
  <c r="O58" i="38"/>
  <c r="O59" i="38"/>
  <c r="O60" i="38"/>
  <c r="O61" i="38"/>
  <c r="O62" i="38"/>
  <c r="O63" i="38"/>
  <c r="O64" i="38"/>
  <c r="O65" i="38"/>
  <c r="O66" i="38"/>
  <c r="O67" i="38"/>
  <c r="O68" i="38"/>
  <c r="O69" i="38"/>
  <c r="O70" i="38"/>
  <c r="O71" i="38"/>
  <c r="O72" i="38"/>
  <c r="O73" i="38"/>
  <c r="O74" i="38"/>
  <c r="O75" i="38"/>
  <c r="O76" i="38"/>
  <c r="O77" i="38"/>
  <c r="O78" i="38"/>
  <c r="O79" i="38"/>
  <c r="O80" i="38"/>
  <c r="O81" i="38"/>
  <c r="O82" i="38"/>
  <c r="O83" i="38"/>
  <c r="O84" i="38"/>
  <c r="O85" i="38"/>
  <c r="O86" i="38"/>
  <c r="O87" i="38"/>
  <c r="O88" i="38"/>
  <c r="O5" i="38"/>
  <c r="P5" i="38"/>
  <c r="Q5" i="38"/>
  <c r="N5" i="38"/>
  <c r="L5" i="38"/>
  <c r="K5" i="38"/>
  <c r="L9" i="68"/>
  <c r="H68" i="68"/>
  <c r="L68" i="68" s="1"/>
  <c r="H67" i="68"/>
  <c r="L67" i="68" s="1"/>
  <c r="H66" i="68"/>
  <c r="L66" i="68" s="1"/>
  <c r="H65" i="68"/>
  <c r="L65" i="68" s="1"/>
  <c r="H64" i="68"/>
  <c r="L64" i="68" s="1"/>
  <c r="H63" i="68"/>
  <c r="L63" i="68" s="1"/>
  <c r="H62" i="68"/>
  <c r="L62" i="68" s="1"/>
  <c r="H61" i="68"/>
  <c r="L61" i="68" s="1"/>
  <c r="H60" i="68"/>
  <c r="L60" i="68" s="1"/>
  <c r="H59" i="68"/>
  <c r="L59" i="68" s="1"/>
  <c r="H58" i="68"/>
  <c r="L58" i="68" s="1"/>
  <c r="H57" i="68"/>
  <c r="L57" i="68" s="1"/>
  <c r="H56" i="68"/>
  <c r="L56" i="68" s="1"/>
  <c r="H55" i="68"/>
  <c r="L55" i="68" s="1"/>
  <c r="H54" i="68"/>
  <c r="L54" i="68" s="1"/>
  <c r="H53" i="68"/>
  <c r="L53" i="68" s="1"/>
  <c r="H52" i="68"/>
  <c r="L52" i="68" s="1"/>
  <c r="H51" i="68"/>
  <c r="L51" i="68" s="1"/>
  <c r="H50" i="68"/>
  <c r="L50" i="68" s="1"/>
  <c r="H49" i="68"/>
  <c r="L49" i="68" s="1"/>
  <c r="H48" i="68"/>
  <c r="L48" i="68" s="1"/>
  <c r="H47" i="68"/>
  <c r="L47" i="68" s="1"/>
  <c r="H46" i="68"/>
  <c r="L46" i="68" s="1"/>
  <c r="H45" i="68"/>
  <c r="L45" i="68" s="1"/>
  <c r="H44" i="68"/>
  <c r="L44" i="68" s="1"/>
  <c r="H43" i="68"/>
  <c r="L43" i="68" s="1"/>
  <c r="H42" i="68"/>
  <c r="L42" i="68" s="1"/>
  <c r="H41" i="68"/>
  <c r="L41" i="68" s="1"/>
  <c r="H40" i="68"/>
  <c r="L40" i="68" s="1"/>
  <c r="H39" i="68"/>
  <c r="L39" i="68" s="1"/>
  <c r="H38" i="68"/>
  <c r="L38" i="68" s="1"/>
  <c r="H37" i="68"/>
  <c r="L37" i="68" s="1"/>
  <c r="H36" i="68"/>
  <c r="L36" i="68" s="1"/>
  <c r="H35" i="68"/>
  <c r="L35" i="68" s="1"/>
  <c r="H34" i="68"/>
  <c r="L34" i="68" s="1"/>
  <c r="H33" i="68"/>
  <c r="L33" i="68" s="1"/>
  <c r="H32" i="68"/>
  <c r="L32" i="68" s="1"/>
  <c r="H31" i="68"/>
  <c r="L31" i="68" s="1"/>
  <c r="H30" i="68"/>
  <c r="L30" i="68" s="1"/>
  <c r="H29" i="68"/>
  <c r="L29" i="68" s="1"/>
  <c r="H28" i="68"/>
  <c r="L28" i="68" s="1"/>
  <c r="H27" i="68"/>
  <c r="L27" i="68" s="1"/>
  <c r="H26" i="68"/>
  <c r="L26" i="68" s="1"/>
  <c r="H25" i="68"/>
  <c r="L25" i="68" s="1"/>
  <c r="H24" i="68"/>
  <c r="L24" i="68" s="1"/>
  <c r="H23" i="68"/>
  <c r="L23" i="68" s="1"/>
  <c r="H22" i="68"/>
  <c r="L22" i="68" s="1"/>
  <c r="H21" i="68"/>
  <c r="L21" i="68" s="1"/>
  <c r="H20" i="68"/>
  <c r="L20" i="68" s="1"/>
  <c r="H19" i="68"/>
  <c r="L19" i="68" s="1"/>
  <c r="H18" i="68"/>
  <c r="L18" i="68" s="1"/>
  <c r="H17" i="68"/>
  <c r="L17" i="68" s="1"/>
  <c r="H16" i="68"/>
  <c r="L16" i="68" s="1"/>
  <c r="H15" i="68"/>
  <c r="L15" i="68" s="1"/>
  <c r="H14" i="68"/>
  <c r="L14" i="68" s="1"/>
  <c r="H13" i="68"/>
  <c r="L13" i="68" s="1"/>
  <c r="H12" i="68"/>
  <c r="L12" i="68" s="1"/>
  <c r="H11" i="68"/>
  <c r="L11" i="68" s="1"/>
  <c r="H10" i="68"/>
  <c r="L10" i="68" s="1"/>
  <c r="H9" i="68"/>
  <c r="H8" i="68"/>
  <c r="L8" i="68" s="1"/>
  <c r="E20" i="27"/>
  <c r="E19" i="27"/>
  <c r="E18" i="27"/>
  <c r="E17" i="27"/>
  <c r="E16" i="27"/>
  <c r="E15" i="27"/>
  <c r="E14" i="27"/>
  <c r="E13" i="27"/>
  <c r="E12" i="27"/>
  <c r="E11" i="27"/>
  <c r="E10" i="27"/>
  <c r="E9" i="27"/>
  <c r="E8" i="27"/>
  <c r="E7" i="27"/>
  <c r="E6" i="27"/>
  <c r="E5" i="27"/>
  <c r="L8" i="27"/>
  <c r="K5" i="27"/>
  <c r="J20" i="27"/>
  <c r="J19" i="27"/>
  <c r="J18" i="27"/>
  <c r="J17" i="27"/>
  <c r="J16" i="27"/>
  <c r="J15" i="27"/>
  <c r="J14" i="27"/>
  <c r="J13" i="27"/>
  <c r="J12" i="27"/>
  <c r="J11" i="27"/>
  <c r="J10" i="27"/>
  <c r="J9" i="27"/>
  <c r="J8" i="27"/>
  <c r="J7" i="27"/>
  <c r="J6" i="27"/>
  <c r="J5" i="27"/>
  <c r="B6" i="27"/>
  <c r="C6" i="27"/>
  <c r="D6" i="27"/>
  <c r="B7" i="27"/>
  <c r="C7" i="27"/>
  <c r="D7" i="27"/>
  <c r="B8" i="27"/>
  <c r="C8" i="27"/>
  <c r="D8" i="27"/>
  <c r="B9" i="27"/>
  <c r="C9" i="27"/>
  <c r="D9" i="27"/>
  <c r="B10" i="27"/>
  <c r="C10" i="27"/>
  <c r="D10" i="27"/>
  <c r="B11" i="27"/>
  <c r="C11" i="27"/>
  <c r="D11" i="27"/>
  <c r="B12" i="27"/>
  <c r="C12" i="27"/>
  <c r="D12" i="27"/>
  <c r="B13" i="27"/>
  <c r="C13" i="27"/>
  <c r="D13" i="27"/>
  <c r="B14" i="27"/>
  <c r="C14" i="27"/>
  <c r="D14" i="27"/>
  <c r="B15" i="27"/>
  <c r="C15" i="27"/>
  <c r="D15" i="27"/>
  <c r="B16" i="27"/>
  <c r="C16" i="27"/>
  <c r="D16" i="27"/>
  <c r="B17" i="27"/>
  <c r="C17" i="27"/>
  <c r="D17" i="27"/>
  <c r="B18" i="27"/>
  <c r="C18" i="27"/>
  <c r="D18" i="27"/>
  <c r="B19" i="27"/>
  <c r="C19" i="27"/>
  <c r="D19" i="27"/>
  <c r="B20" i="27"/>
  <c r="C20" i="27"/>
  <c r="D20" i="27"/>
  <c r="D5" i="27"/>
  <c r="C5" i="27"/>
  <c r="B5" i="27"/>
  <c r="M9" i="67"/>
  <c r="L8" i="67"/>
  <c r="K7" i="67"/>
  <c r="I7" i="67"/>
  <c r="H6" i="67"/>
  <c r="B6" i="67"/>
  <c r="AO6" i="67"/>
  <c r="AN6" i="67"/>
  <c r="AH6" i="67"/>
  <c r="BA57" i="67"/>
  <c r="AY57" i="67"/>
  <c r="AO57" i="67"/>
  <c r="AN57" i="67"/>
  <c r="AM57" i="67"/>
  <c r="G57" i="67" s="1"/>
  <c r="AL57" i="67"/>
  <c r="F57" i="67" s="1"/>
  <c r="AK57" i="67"/>
  <c r="E57" i="67" s="1"/>
  <c r="AJ57" i="67"/>
  <c r="D57" i="67" s="1"/>
  <c r="AI57" i="67"/>
  <c r="C57" i="67" s="1"/>
  <c r="AH57" i="67"/>
  <c r="B57" i="67" s="1"/>
  <c r="BA56" i="67"/>
  <c r="AY56" i="67" s="1"/>
  <c r="H20" i="67" s="1"/>
  <c r="AO56" i="67"/>
  <c r="AN56" i="67"/>
  <c r="AM56" i="67"/>
  <c r="AL56" i="67"/>
  <c r="AK56" i="67"/>
  <c r="E56" i="67" s="1"/>
  <c r="AJ56" i="67"/>
  <c r="D56" i="67" s="1"/>
  <c r="AI56" i="67"/>
  <c r="AH56" i="67"/>
  <c r="B56" i="67" s="1"/>
  <c r="G56" i="67"/>
  <c r="F56" i="67"/>
  <c r="C56" i="67"/>
  <c r="BA55" i="67"/>
  <c r="AY55" i="67" s="1"/>
  <c r="AO55" i="67"/>
  <c r="AN55" i="67"/>
  <c r="H55" i="67" s="1"/>
  <c r="L55" i="67" s="1"/>
  <c r="AM55" i="67"/>
  <c r="G55" i="67" s="1"/>
  <c r="AL55" i="67"/>
  <c r="AK55" i="67"/>
  <c r="E55" i="67" s="1"/>
  <c r="AJ55" i="67"/>
  <c r="AI55" i="67"/>
  <c r="AH55" i="67"/>
  <c r="F55" i="67"/>
  <c r="D55" i="67"/>
  <c r="C55" i="67"/>
  <c r="B55" i="67"/>
  <c r="BA54" i="67"/>
  <c r="AY54" i="67" s="1"/>
  <c r="AO54" i="67"/>
  <c r="I54" i="67" s="1"/>
  <c r="AN54" i="67"/>
  <c r="AM54" i="67"/>
  <c r="AL54" i="67"/>
  <c r="F54" i="67" s="1"/>
  <c r="AK54" i="67"/>
  <c r="E54" i="67" s="1"/>
  <c r="AJ54" i="67"/>
  <c r="D54" i="67" s="1"/>
  <c r="AI54" i="67"/>
  <c r="C54" i="67" s="1"/>
  <c r="AH54" i="67"/>
  <c r="B54" i="67" s="1"/>
  <c r="G54" i="67"/>
  <c r="BA53" i="67"/>
  <c r="AY53" i="67"/>
  <c r="AO53" i="67"/>
  <c r="AN53" i="67"/>
  <c r="AM53" i="67"/>
  <c r="G53" i="67" s="1"/>
  <c r="AL53" i="67"/>
  <c r="AK53" i="67"/>
  <c r="E53" i="67" s="1"/>
  <c r="AJ53" i="67"/>
  <c r="D53" i="67" s="1"/>
  <c r="AI53" i="67"/>
  <c r="C53" i="67" s="1"/>
  <c r="AH53" i="67"/>
  <c r="B53" i="67" s="1"/>
  <c r="F53" i="67"/>
  <c r="BA52" i="67"/>
  <c r="AY52" i="67"/>
  <c r="AO52" i="67"/>
  <c r="I52" i="67" s="1"/>
  <c r="AN52" i="67"/>
  <c r="H52" i="67" s="1"/>
  <c r="AM52" i="67"/>
  <c r="G52" i="67" s="1"/>
  <c r="AL52" i="67"/>
  <c r="F52" i="67" s="1"/>
  <c r="AK52" i="67"/>
  <c r="E52" i="67" s="1"/>
  <c r="AJ52" i="67"/>
  <c r="D52" i="67" s="1"/>
  <c r="AI52" i="67"/>
  <c r="AH52" i="67"/>
  <c r="B52" i="67" s="1"/>
  <c r="C52" i="67"/>
  <c r="BA51" i="67"/>
  <c r="AY51" i="67" s="1"/>
  <c r="AO51" i="67"/>
  <c r="AN51" i="67"/>
  <c r="AM51" i="67"/>
  <c r="G51" i="67" s="1"/>
  <c r="AL51" i="67"/>
  <c r="F51" i="67" s="1"/>
  <c r="AK51" i="67"/>
  <c r="E51" i="67" s="1"/>
  <c r="AJ51" i="67"/>
  <c r="D51" i="67" s="1"/>
  <c r="AI51" i="67"/>
  <c r="C51" i="67" s="1"/>
  <c r="AH51" i="67"/>
  <c r="B51" i="67" s="1"/>
  <c r="I51" i="67"/>
  <c r="H51" i="67"/>
  <c r="BA50" i="67"/>
  <c r="AY50" i="67"/>
  <c r="I44" i="67" s="1"/>
  <c r="AO50" i="67"/>
  <c r="AN50" i="67"/>
  <c r="AM50" i="67"/>
  <c r="G50" i="67" s="1"/>
  <c r="AL50" i="67"/>
  <c r="F50" i="67" s="1"/>
  <c r="AK50" i="67"/>
  <c r="AJ50" i="67"/>
  <c r="AI50" i="67"/>
  <c r="C50" i="67" s="1"/>
  <c r="AH50" i="67"/>
  <c r="B50" i="67" s="1"/>
  <c r="E50" i="67"/>
  <c r="D50" i="67"/>
  <c r="BA49" i="67"/>
  <c r="AY49" i="67" s="1"/>
  <c r="AO49" i="67"/>
  <c r="AN49" i="67"/>
  <c r="AM49" i="67"/>
  <c r="G49" i="67" s="1"/>
  <c r="AL49" i="67"/>
  <c r="F49" i="67" s="1"/>
  <c r="AK49" i="67"/>
  <c r="E49" i="67" s="1"/>
  <c r="AJ49" i="67"/>
  <c r="AI49" i="67"/>
  <c r="AH49" i="67"/>
  <c r="D49" i="67"/>
  <c r="C49" i="67"/>
  <c r="B49" i="67"/>
  <c r="BA48" i="67"/>
  <c r="AY48" i="67" s="1"/>
  <c r="H27" i="67" s="1"/>
  <c r="AO48" i="67"/>
  <c r="AN48" i="67"/>
  <c r="H48" i="67" s="1"/>
  <c r="AM48" i="67"/>
  <c r="G48" i="67" s="1"/>
  <c r="AL48" i="67"/>
  <c r="F48" i="67" s="1"/>
  <c r="AK48" i="67"/>
  <c r="E48" i="67" s="1"/>
  <c r="AJ48" i="67"/>
  <c r="D48" i="67" s="1"/>
  <c r="AI48" i="67"/>
  <c r="C48" i="67" s="1"/>
  <c r="AH48" i="67"/>
  <c r="B48" i="67" s="1"/>
  <c r="BA47" i="67"/>
  <c r="AY47" i="67" s="1"/>
  <c r="AO47" i="67"/>
  <c r="AN47" i="67"/>
  <c r="AM47" i="67"/>
  <c r="G47" i="67" s="1"/>
  <c r="AL47" i="67"/>
  <c r="F47" i="67" s="1"/>
  <c r="AK47" i="67"/>
  <c r="E47" i="67" s="1"/>
  <c r="AJ47" i="67"/>
  <c r="AI47" i="67"/>
  <c r="AH47" i="67"/>
  <c r="B47" i="67" s="1"/>
  <c r="D47" i="67"/>
  <c r="C47" i="67"/>
  <c r="BA46" i="67"/>
  <c r="AY46" i="67"/>
  <c r="AO46" i="67"/>
  <c r="AN46" i="67"/>
  <c r="AM46" i="67"/>
  <c r="G46" i="67" s="1"/>
  <c r="AL46" i="67"/>
  <c r="AK46" i="67"/>
  <c r="E46" i="67" s="1"/>
  <c r="AJ46" i="67"/>
  <c r="D46" i="67" s="1"/>
  <c r="AI46" i="67"/>
  <c r="C46" i="67" s="1"/>
  <c r="AH46" i="67"/>
  <c r="B46" i="67" s="1"/>
  <c r="F46" i="67"/>
  <c r="BA45" i="67"/>
  <c r="AY45" i="67" s="1"/>
  <c r="AO45" i="67"/>
  <c r="AN45" i="67"/>
  <c r="AM45" i="67"/>
  <c r="AL45" i="67"/>
  <c r="AK45" i="67"/>
  <c r="AJ45" i="67"/>
  <c r="AI45" i="67"/>
  <c r="C45" i="67" s="1"/>
  <c r="AH45" i="67"/>
  <c r="B45" i="67" s="1"/>
  <c r="G45" i="67"/>
  <c r="K45" i="67" s="1"/>
  <c r="F45" i="67"/>
  <c r="E45" i="67"/>
  <c r="D45" i="67"/>
  <c r="BA44" i="67"/>
  <c r="AY44" i="67" s="1"/>
  <c r="H54" i="67" s="1"/>
  <c r="AO44" i="67"/>
  <c r="AN44" i="67"/>
  <c r="H44" i="67" s="1"/>
  <c r="AM44" i="67"/>
  <c r="G44" i="67" s="1"/>
  <c r="AL44" i="67"/>
  <c r="F44" i="67" s="1"/>
  <c r="AK44" i="67"/>
  <c r="E44" i="67" s="1"/>
  <c r="AJ44" i="67"/>
  <c r="D44" i="67" s="1"/>
  <c r="AI44" i="67"/>
  <c r="AH44" i="67"/>
  <c r="C44" i="67"/>
  <c r="B44" i="67"/>
  <c r="L44" i="67" s="1"/>
  <c r="BA43" i="67"/>
  <c r="AY43" i="67"/>
  <c r="H43" i="67" s="1"/>
  <c r="AO43" i="67"/>
  <c r="AN43" i="67"/>
  <c r="AM43" i="67"/>
  <c r="G43" i="67" s="1"/>
  <c r="AL43" i="67"/>
  <c r="F43" i="67" s="1"/>
  <c r="AK43" i="67"/>
  <c r="E43" i="67" s="1"/>
  <c r="AJ43" i="67"/>
  <c r="AI43" i="67"/>
  <c r="C43" i="67" s="1"/>
  <c r="AH43" i="67"/>
  <c r="D43" i="67"/>
  <c r="B43" i="67"/>
  <c r="BA42" i="67"/>
  <c r="AY42" i="67" s="1"/>
  <c r="AO42" i="67"/>
  <c r="I42" i="67" s="1"/>
  <c r="AN42" i="67"/>
  <c r="H42" i="67" s="1"/>
  <c r="AM42" i="67"/>
  <c r="G42" i="67" s="1"/>
  <c r="K42" i="67" s="1"/>
  <c r="AL42" i="67"/>
  <c r="F42" i="67" s="1"/>
  <c r="AK42" i="67"/>
  <c r="E42" i="67" s="1"/>
  <c r="AJ42" i="67"/>
  <c r="AI42" i="67"/>
  <c r="AH42" i="67"/>
  <c r="B42" i="67" s="1"/>
  <c r="D42" i="67"/>
  <c r="C42" i="67"/>
  <c r="BA41" i="67"/>
  <c r="AY41" i="67"/>
  <c r="AO41" i="67"/>
  <c r="AN41" i="67"/>
  <c r="AM41" i="67"/>
  <c r="G41" i="67" s="1"/>
  <c r="AL41" i="67"/>
  <c r="F41" i="67" s="1"/>
  <c r="AK41" i="67"/>
  <c r="E41" i="67" s="1"/>
  <c r="AJ41" i="67"/>
  <c r="D41" i="67" s="1"/>
  <c r="AI41" i="67"/>
  <c r="C41" i="67" s="1"/>
  <c r="AH41" i="67"/>
  <c r="B41" i="67" s="1"/>
  <c r="BA40" i="67"/>
  <c r="AY40" i="67" s="1"/>
  <c r="I33" i="67" s="1"/>
  <c r="AO40" i="67"/>
  <c r="I40" i="67" s="1"/>
  <c r="AN40" i="67"/>
  <c r="AM40" i="67"/>
  <c r="G40" i="67" s="1"/>
  <c r="AL40" i="67"/>
  <c r="F40" i="67" s="1"/>
  <c r="AK40" i="67"/>
  <c r="E40" i="67" s="1"/>
  <c r="AJ40" i="67"/>
  <c r="D40" i="67" s="1"/>
  <c r="AI40" i="67"/>
  <c r="C40" i="67" s="1"/>
  <c r="AH40" i="67"/>
  <c r="B40" i="67" s="1"/>
  <c r="BA39" i="67"/>
  <c r="AY39" i="67"/>
  <c r="AO39" i="67"/>
  <c r="AN39" i="67"/>
  <c r="AM39" i="67"/>
  <c r="G39" i="67" s="1"/>
  <c r="AL39" i="67"/>
  <c r="F39" i="67" s="1"/>
  <c r="AK39" i="67"/>
  <c r="E39" i="67" s="1"/>
  <c r="AJ39" i="67"/>
  <c r="D39" i="67" s="1"/>
  <c r="AI39" i="67"/>
  <c r="C39" i="67" s="1"/>
  <c r="AH39" i="67"/>
  <c r="B39" i="67" s="1"/>
  <c r="BA38" i="67"/>
  <c r="AY38" i="67" s="1"/>
  <c r="AO38" i="67"/>
  <c r="AN38" i="67"/>
  <c r="AM38" i="67"/>
  <c r="AL38" i="67"/>
  <c r="F38" i="67" s="1"/>
  <c r="AK38" i="67"/>
  <c r="E38" i="67" s="1"/>
  <c r="AJ38" i="67"/>
  <c r="D38" i="67" s="1"/>
  <c r="AI38" i="67"/>
  <c r="C38" i="67" s="1"/>
  <c r="AH38" i="67"/>
  <c r="B38" i="67" s="1"/>
  <c r="G38" i="67"/>
  <c r="K38" i="67" s="1"/>
  <c r="BA37" i="67"/>
  <c r="AY37" i="67" s="1"/>
  <c r="H13" i="67" s="1"/>
  <c r="L13" i="67" s="1"/>
  <c r="AO37" i="67"/>
  <c r="AN37" i="67"/>
  <c r="AM37" i="67"/>
  <c r="G37" i="67" s="1"/>
  <c r="AL37" i="67"/>
  <c r="AK37" i="67"/>
  <c r="AJ37" i="67"/>
  <c r="D37" i="67" s="1"/>
  <c r="AI37" i="67"/>
  <c r="C37" i="67" s="1"/>
  <c r="AH37" i="67"/>
  <c r="F37" i="67"/>
  <c r="E37" i="67"/>
  <c r="B37" i="67"/>
  <c r="BA36" i="67"/>
  <c r="AY36" i="67"/>
  <c r="AO36" i="67"/>
  <c r="AN36" i="67"/>
  <c r="AM36" i="67"/>
  <c r="AL36" i="67"/>
  <c r="F36" i="67" s="1"/>
  <c r="AK36" i="67"/>
  <c r="AJ36" i="67"/>
  <c r="AI36" i="67"/>
  <c r="AH36" i="67"/>
  <c r="B36" i="67" s="1"/>
  <c r="G36" i="67"/>
  <c r="E36" i="67"/>
  <c r="D36" i="67"/>
  <c r="C36" i="67"/>
  <c r="BA35" i="67"/>
  <c r="AY35" i="67" s="1"/>
  <c r="I49" i="67" s="1"/>
  <c r="AO35" i="67"/>
  <c r="I35" i="67" s="1"/>
  <c r="AN35" i="67"/>
  <c r="AM35" i="67"/>
  <c r="AL35" i="67"/>
  <c r="AK35" i="67"/>
  <c r="E35" i="67" s="1"/>
  <c r="AJ35" i="67"/>
  <c r="D35" i="67" s="1"/>
  <c r="AI35" i="67"/>
  <c r="C35" i="67" s="1"/>
  <c r="AH35" i="67"/>
  <c r="B35" i="67" s="1"/>
  <c r="H35" i="67"/>
  <c r="G35" i="67"/>
  <c r="F35" i="67"/>
  <c r="BA34" i="67"/>
  <c r="AY34" i="67" s="1"/>
  <c r="AO34" i="67"/>
  <c r="AN34" i="67"/>
  <c r="AM34" i="67"/>
  <c r="G34" i="67" s="1"/>
  <c r="AL34" i="67"/>
  <c r="F34" i="67" s="1"/>
  <c r="AK34" i="67"/>
  <c r="E34" i="67" s="1"/>
  <c r="AJ34" i="67"/>
  <c r="AI34" i="67"/>
  <c r="C34" i="67" s="1"/>
  <c r="AH34" i="67"/>
  <c r="B34" i="67" s="1"/>
  <c r="D34" i="67"/>
  <c r="BA33" i="67"/>
  <c r="AY33" i="67" s="1"/>
  <c r="AO33" i="67"/>
  <c r="AN33" i="67"/>
  <c r="AM33" i="67"/>
  <c r="G33" i="67" s="1"/>
  <c r="AL33" i="67"/>
  <c r="F33" i="67" s="1"/>
  <c r="AK33" i="67"/>
  <c r="E33" i="67" s="1"/>
  <c r="AJ33" i="67"/>
  <c r="AI33" i="67"/>
  <c r="C33" i="67" s="1"/>
  <c r="AH33" i="67"/>
  <c r="B33" i="67" s="1"/>
  <c r="D33" i="67"/>
  <c r="BA32" i="67"/>
  <c r="AY32" i="67" s="1"/>
  <c r="AO32" i="67"/>
  <c r="AN32" i="67"/>
  <c r="AM32" i="67"/>
  <c r="AL32" i="67"/>
  <c r="F32" i="67" s="1"/>
  <c r="AK32" i="67"/>
  <c r="E32" i="67" s="1"/>
  <c r="AJ32" i="67"/>
  <c r="D32" i="67" s="1"/>
  <c r="AI32" i="67"/>
  <c r="C32" i="67" s="1"/>
  <c r="AH32" i="67"/>
  <c r="B32" i="67" s="1"/>
  <c r="G32" i="67"/>
  <c r="BA31" i="67"/>
  <c r="AY31" i="67" s="1"/>
  <c r="H39" i="67" s="1"/>
  <c r="L39" i="67" s="1"/>
  <c r="AO31" i="67"/>
  <c r="AN31" i="67"/>
  <c r="AM31" i="67"/>
  <c r="G31" i="67" s="1"/>
  <c r="AL31" i="67"/>
  <c r="F31" i="67" s="1"/>
  <c r="AK31" i="67"/>
  <c r="E31" i="67" s="1"/>
  <c r="AJ31" i="67"/>
  <c r="AI31" i="67"/>
  <c r="C31" i="67" s="1"/>
  <c r="AH31" i="67"/>
  <c r="B31" i="67" s="1"/>
  <c r="D31" i="67"/>
  <c r="BA30" i="67"/>
  <c r="AY30" i="67" s="1"/>
  <c r="AO30" i="67"/>
  <c r="AN30" i="67"/>
  <c r="AM30" i="67"/>
  <c r="G30" i="67" s="1"/>
  <c r="AL30" i="67"/>
  <c r="F30" i="67" s="1"/>
  <c r="AK30" i="67"/>
  <c r="AJ30" i="67"/>
  <c r="D30" i="67" s="1"/>
  <c r="AI30" i="67"/>
  <c r="AH30" i="67"/>
  <c r="E30" i="67"/>
  <c r="C30" i="67"/>
  <c r="B30" i="67"/>
  <c r="BA29" i="67"/>
  <c r="AY29" i="67"/>
  <c r="AO29" i="67"/>
  <c r="I29" i="67" s="1"/>
  <c r="AN29" i="67"/>
  <c r="AM29" i="67"/>
  <c r="G29" i="67" s="1"/>
  <c r="AL29" i="67"/>
  <c r="F29" i="67" s="1"/>
  <c r="AK29" i="67"/>
  <c r="AJ29" i="67"/>
  <c r="AI29" i="67"/>
  <c r="C29" i="67" s="1"/>
  <c r="AH29" i="67"/>
  <c r="B29" i="67" s="1"/>
  <c r="E29" i="67"/>
  <c r="D29" i="67"/>
  <c r="BA28" i="67"/>
  <c r="AY28" i="67" s="1"/>
  <c r="AO28" i="67"/>
  <c r="AN28" i="67"/>
  <c r="AM28" i="67"/>
  <c r="G28" i="67" s="1"/>
  <c r="AL28" i="67"/>
  <c r="F28" i="67" s="1"/>
  <c r="AK28" i="67"/>
  <c r="E28" i="67" s="1"/>
  <c r="AJ28" i="67"/>
  <c r="D28" i="67" s="1"/>
  <c r="AI28" i="67"/>
  <c r="C28" i="67" s="1"/>
  <c r="AH28" i="67"/>
  <c r="B28" i="67"/>
  <c r="BA27" i="67"/>
  <c r="AY27" i="67" s="1"/>
  <c r="I32" i="67" s="1"/>
  <c r="AO27" i="67"/>
  <c r="AN27" i="67"/>
  <c r="AM27" i="67"/>
  <c r="G27" i="67" s="1"/>
  <c r="K27" i="67" s="1"/>
  <c r="AL27" i="67"/>
  <c r="F27" i="67" s="1"/>
  <c r="AK27" i="67"/>
  <c r="E27" i="67" s="1"/>
  <c r="AJ27" i="67"/>
  <c r="D27" i="67" s="1"/>
  <c r="AI27" i="67"/>
  <c r="C27" i="67" s="1"/>
  <c r="AH27" i="67"/>
  <c r="B27" i="67" s="1"/>
  <c r="BA26" i="67"/>
  <c r="AY26" i="67"/>
  <c r="AO26" i="67"/>
  <c r="AN26" i="67"/>
  <c r="AM26" i="67"/>
  <c r="AL26" i="67"/>
  <c r="AK26" i="67"/>
  <c r="E26" i="67" s="1"/>
  <c r="AJ26" i="67"/>
  <c r="D26" i="67" s="1"/>
  <c r="AI26" i="67"/>
  <c r="C26" i="67" s="1"/>
  <c r="AH26" i="67"/>
  <c r="B26" i="67" s="1"/>
  <c r="G26" i="67"/>
  <c r="F26" i="67"/>
  <c r="BA25" i="67"/>
  <c r="AY25" i="67"/>
  <c r="AO25" i="67"/>
  <c r="AN25" i="67"/>
  <c r="AM25" i="67"/>
  <c r="G25" i="67" s="1"/>
  <c r="AL25" i="67"/>
  <c r="F25" i="67" s="1"/>
  <c r="AK25" i="67"/>
  <c r="E25" i="67" s="1"/>
  <c r="AJ25" i="67"/>
  <c r="D25" i="67" s="1"/>
  <c r="AI25" i="67"/>
  <c r="C25" i="67" s="1"/>
  <c r="AH25" i="67"/>
  <c r="B25" i="67" s="1"/>
  <c r="BA24" i="67"/>
  <c r="AY24" i="67" s="1"/>
  <c r="AO24" i="67"/>
  <c r="I24" i="67" s="1"/>
  <c r="AN24" i="67"/>
  <c r="AM24" i="67"/>
  <c r="AL24" i="67"/>
  <c r="AK24" i="67"/>
  <c r="E24" i="67" s="1"/>
  <c r="AJ24" i="67"/>
  <c r="D24" i="67" s="1"/>
  <c r="AI24" i="67"/>
  <c r="AH24" i="67"/>
  <c r="B24" i="67" s="1"/>
  <c r="G24" i="67"/>
  <c r="F24" i="67"/>
  <c r="C24" i="67"/>
  <c r="BA23" i="67"/>
  <c r="AY23" i="67" s="1"/>
  <c r="I22" i="67" s="1"/>
  <c r="AO23" i="67"/>
  <c r="I23" i="67" s="1"/>
  <c r="AN23" i="67"/>
  <c r="H23" i="67" s="1"/>
  <c r="AM23" i="67"/>
  <c r="G23" i="67" s="1"/>
  <c r="AL23" i="67"/>
  <c r="F23" i="67" s="1"/>
  <c r="AK23" i="67"/>
  <c r="AJ23" i="67"/>
  <c r="AI23" i="67"/>
  <c r="AH23" i="67"/>
  <c r="E23" i="67"/>
  <c r="D23" i="67"/>
  <c r="C23" i="67"/>
  <c r="B23" i="67"/>
  <c r="BA22" i="67"/>
  <c r="AY22" i="67" s="1"/>
  <c r="AO22" i="67"/>
  <c r="AN22" i="67"/>
  <c r="AM22" i="67"/>
  <c r="G22" i="67" s="1"/>
  <c r="AL22" i="67"/>
  <c r="F22" i="67" s="1"/>
  <c r="AK22" i="67"/>
  <c r="E22" i="67" s="1"/>
  <c r="AJ22" i="67"/>
  <c r="D22" i="67" s="1"/>
  <c r="AI22" i="67"/>
  <c r="C22" i="67" s="1"/>
  <c r="AH22" i="67"/>
  <c r="B22" i="67" s="1"/>
  <c r="BA21" i="67"/>
  <c r="AY21" i="67" s="1"/>
  <c r="AO21" i="67"/>
  <c r="AN21" i="67"/>
  <c r="AM21" i="67"/>
  <c r="G21" i="67" s="1"/>
  <c r="AL21" i="67"/>
  <c r="F21" i="67" s="1"/>
  <c r="AK21" i="67"/>
  <c r="E21" i="67" s="1"/>
  <c r="AJ21" i="67"/>
  <c r="D21" i="67" s="1"/>
  <c r="AI21" i="67"/>
  <c r="C21" i="67" s="1"/>
  <c r="AH21" i="67"/>
  <c r="B21" i="67" s="1"/>
  <c r="BA20" i="67"/>
  <c r="AY20" i="67" s="1"/>
  <c r="AO20" i="67"/>
  <c r="AN20" i="67"/>
  <c r="AM20" i="67"/>
  <c r="AL20" i="67"/>
  <c r="F20" i="67" s="1"/>
  <c r="AK20" i="67"/>
  <c r="AJ20" i="67"/>
  <c r="AI20" i="67"/>
  <c r="C20" i="67" s="1"/>
  <c r="AH20" i="67"/>
  <c r="B20" i="67" s="1"/>
  <c r="G20" i="67"/>
  <c r="E20" i="67"/>
  <c r="D20" i="67"/>
  <c r="BA19" i="67"/>
  <c r="AY19" i="67" s="1"/>
  <c r="AO19" i="67"/>
  <c r="AN19" i="67"/>
  <c r="AM19" i="67"/>
  <c r="AL19" i="67"/>
  <c r="AK19" i="67"/>
  <c r="E19" i="67" s="1"/>
  <c r="AJ19" i="67"/>
  <c r="D19" i="67" s="1"/>
  <c r="AI19" i="67"/>
  <c r="C19" i="67" s="1"/>
  <c r="AH19" i="67"/>
  <c r="B19" i="67" s="1"/>
  <c r="G19" i="67"/>
  <c r="F19" i="67"/>
  <c r="BA18" i="67"/>
  <c r="AY18" i="67" s="1"/>
  <c r="AO18" i="67"/>
  <c r="AN18" i="67"/>
  <c r="AM18" i="67"/>
  <c r="G18" i="67" s="1"/>
  <c r="AL18" i="67"/>
  <c r="F18" i="67" s="1"/>
  <c r="AK18" i="67"/>
  <c r="AJ18" i="67"/>
  <c r="AI18" i="67"/>
  <c r="C18" i="67" s="1"/>
  <c r="AH18" i="67"/>
  <c r="E18" i="67"/>
  <c r="D18" i="67"/>
  <c r="B18" i="67"/>
  <c r="BA17" i="67"/>
  <c r="AY17" i="67" s="1"/>
  <c r="AO17" i="67"/>
  <c r="I17" i="67" s="1"/>
  <c r="AN17" i="67"/>
  <c r="AM17" i="67"/>
  <c r="G17" i="67" s="1"/>
  <c r="AL17" i="67"/>
  <c r="F17" i="67" s="1"/>
  <c r="AK17" i="67"/>
  <c r="E17" i="67" s="1"/>
  <c r="AJ17" i="67"/>
  <c r="D17" i="67" s="1"/>
  <c r="AI17" i="67"/>
  <c r="C17" i="67" s="1"/>
  <c r="AH17" i="67"/>
  <c r="B17" i="67" s="1"/>
  <c r="BA16" i="67"/>
  <c r="AY16" i="67" s="1"/>
  <c r="AO16" i="67"/>
  <c r="AN16" i="67"/>
  <c r="AM16" i="67"/>
  <c r="G16" i="67" s="1"/>
  <c r="AL16" i="67"/>
  <c r="F16" i="67" s="1"/>
  <c r="AK16" i="67"/>
  <c r="E16" i="67" s="1"/>
  <c r="AJ16" i="67"/>
  <c r="D16" i="67" s="1"/>
  <c r="AI16" i="67"/>
  <c r="C16" i="67" s="1"/>
  <c r="AH16" i="67"/>
  <c r="B16" i="67" s="1"/>
  <c r="BA15" i="67"/>
  <c r="AY15" i="67"/>
  <c r="H29" i="67" s="1"/>
  <c r="AO15" i="67"/>
  <c r="AN15" i="67"/>
  <c r="H15" i="67" s="1"/>
  <c r="AM15" i="67"/>
  <c r="G15" i="67" s="1"/>
  <c r="AL15" i="67"/>
  <c r="F15" i="67" s="1"/>
  <c r="AK15" i="67"/>
  <c r="E15" i="67" s="1"/>
  <c r="AJ15" i="67"/>
  <c r="D15" i="67" s="1"/>
  <c r="AI15" i="67"/>
  <c r="C15" i="67" s="1"/>
  <c r="AH15" i="67"/>
  <c r="B15" i="67" s="1"/>
  <c r="BA14" i="67"/>
  <c r="AY14" i="67" s="1"/>
  <c r="AO14" i="67"/>
  <c r="AN14" i="67"/>
  <c r="AM14" i="67"/>
  <c r="G14" i="67" s="1"/>
  <c r="AL14" i="67"/>
  <c r="AK14" i="67"/>
  <c r="E14" i="67" s="1"/>
  <c r="AJ14" i="67"/>
  <c r="D14" i="67" s="1"/>
  <c r="AI14" i="67"/>
  <c r="AH14" i="67"/>
  <c r="F14" i="67"/>
  <c r="C14" i="67"/>
  <c r="B14" i="67"/>
  <c r="BA13" i="67"/>
  <c r="AY13" i="67"/>
  <c r="AO13" i="67"/>
  <c r="AN13" i="67"/>
  <c r="AM13" i="67"/>
  <c r="AL13" i="67"/>
  <c r="AK13" i="67"/>
  <c r="AJ13" i="67"/>
  <c r="AI13" i="67"/>
  <c r="C13" i="67" s="1"/>
  <c r="AH13" i="67"/>
  <c r="B13" i="67" s="1"/>
  <c r="G13" i="67"/>
  <c r="K13" i="67" s="1"/>
  <c r="F13" i="67"/>
  <c r="E13" i="67"/>
  <c r="D13" i="67"/>
  <c r="BA12" i="67"/>
  <c r="AY12" i="67" s="1"/>
  <c r="AO12" i="67"/>
  <c r="AN12" i="67"/>
  <c r="H12" i="67" s="1"/>
  <c r="AM12" i="67"/>
  <c r="G12" i="67" s="1"/>
  <c r="AL12" i="67"/>
  <c r="F12" i="67" s="1"/>
  <c r="AK12" i="67"/>
  <c r="E12" i="67" s="1"/>
  <c r="AJ12" i="67"/>
  <c r="D12" i="67" s="1"/>
  <c r="AI12" i="67"/>
  <c r="AH12" i="67"/>
  <c r="B12" i="67" s="1"/>
  <c r="L12" i="67" s="1"/>
  <c r="K12" i="67"/>
  <c r="I12" i="67"/>
  <c r="C12" i="67"/>
  <c r="BA11" i="67"/>
  <c r="AY11" i="67" s="1"/>
  <c r="AO11" i="67"/>
  <c r="I11" i="67" s="1"/>
  <c r="AN11" i="67"/>
  <c r="AM11" i="67"/>
  <c r="G11" i="67" s="1"/>
  <c r="AL11" i="67"/>
  <c r="F11" i="67" s="1"/>
  <c r="AK11" i="67"/>
  <c r="AJ11" i="67"/>
  <c r="AI11" i="67"/>
  <c r="C11" i="67" s="1"/>
  <c r="AH11" i="67"/>
  <c r="E11" i="67"/>
  <c r="D11" i="67"/>
  <c r="B11" i="67"/>
  <c r="BA10" i="67"/>
  <c r="AY10" i="67" s="1"/>
  <c r="AO10" i="67"/>
  <c r="I10" i="67" s="1"/>
  <c r="AN10" i="67"/>
  <c r="H10" i="67" s="1"/>
  <c r="AM10" i="67"/>
  <c r="G10" i="67" s="1"/>
  <c r="AL10" i="67"/>
  <c r="F10" i="67" s="1"/>
  <c r="AK10" i="67"/>
  <c r="E10" i="67" s="1"/>
  <c r="AJ10" i="67"/>
  <c r="D10" i="67" s="1"/>
  <c r="AI10" i="67"/>
  <c r="AH10" i="67"/>
  <c r="B10" i="67" s="1"/>
  <c r="C10" i="67"/>
  <c r="BA9" i="67"/>
  <c r="AY9" i="67"/>
  <c r="H45" i="67" s="1"/>
  <c r="AO9" i="67"/>
  <c r="AN9" i="67"/>
  <c r="H9" i="67" s="1"/>
  <c r="AM9" i="67"/>
  <c r="G9" i="67" s="1"/>
  <c r="AL9" i="67"/>
  <c r="F9" i="67" s="1"/>
  <c r="AK9" i="67"/>
  <c r="E9" i="67" s="1"/>
  <c r="AJ9" i="67"/>
  <c r="D9" i="67" s="1"/>
  <c r="AI9" i="67"/>
  <c r="C9" i="67" s="1"/>
  <c r="AH9" i="67"/>
  <c r="B9" i="67"/>
  <c r="BA8" i="67"/>
  <c r="AY8" i="67" s="1"/>
  <c r="AO8" i="67"/>
  <c r="AN8" i="67"/>
  <c r="AM8" i="67"/>
  <c r="G8" i="67" s="1"/>
  <c r="AL8" i="67"/>
  <c r="F8" i="67" s="1"/>
  <c r="AK8" i="67"/>
  <c r="E8" i="67" s="1"/>
  <c r="AJ8" i="67"/>
  <c r="D8" i="67" s="1"/>
  <c r="AI8" i="67"/>
  <c r="C8" i="67" s="1"/>
  <c r="AH8" i="67"/>
  <c r="B8" i="67" s="1"/>
  <c r="BA7" i="67"/>
  <c r="AY7" i="67"/>
  <c r="AO7" i="67"/>
  <c r="AN7" i="67"/>
  <c r="H7" i="67" s="1"/>
  <c r="AM7" i="67"/>
  <c r="G7" i="67" s="1"/>
  <c r="AL7" i="67"/>
  <c r="AK7" i="67"/>
  <c r="AJ7" i="67"/>
  <c r="D7" i="67" s="1"/>
  <c r="AI7" i="67"/>
  <c r="C7" i="67" s="1"/>
  <c r="AH7" i="67"/>
  <c r="B7" i="67" s="1"/>
  <c r="F7" i="67"/>
  <c r="E7" i="67"/>
  <c r="AM6" i="67"/>
  <c r="AL6" i="67"/>
  <c r="F6" i="67" s="1"/>
  <c r="AK6" i="67"/>
  <c r="E6" i="67" s="1"/>
  <c r="AJ6" i="67"/>
  <c r="D6" i="67" s="1"/>
  <c r="AI6" i="67"/>
  <c r="C6" i="67" s="1"/>
  <c r="G6" i="67"/>
  <c r="W5" i="13"/>
  <c r="Q5" i="13"/>
  <c r="O5" i="13"/>
  <c r="N5" i="13"/>
  <c r="L6" i="13"/>
  <c r="O6" i="13" s="1"/>
  <c r="Q6" i="13" s="1"/>
  <c r="L7" i="13"/>
  <c r="O7" i="13" s="1"/>
  <c r="Q7" i="13" s="1"/>
  <c r="L8" i="13"/>
  <c r="L9" i="13"/>
  <c r="L10" i="13"/>
  <c r="L11" i="13"/>
  <c r="L12" i="13"/>
  <c r="O12" i="13" s="1"/>
  <c r="Q12" i="13" s="1"/>
  <c r="L13" i="13"/>
  <c r="L14" i="13"/>
  <c r="L15" i="13"/>
  <c r="L16" i="13"/>
  <c r="L17" i="13"/>
  <c r="L18" i="13"/>
  <c r="L19" i="13"/>
  <c r="L20" i="13"/>
  <c r="O20" i="13" s="1"/>
  <c r="Q20" i="13" s="1"/>
  <c r="L21" i="13"/>
  <c r="L22" i="13"/>
  <c r="O22" i="13" s="1"/>
  <c r="Q22" i="13" s="1"/>
  <c r="L23" i="13"/>
  <c r="O23" i="13" s="1"/>
  <c r="Q23" i="13" s="1"/>
  <c r="L24" i="13"/>
  <c r="L25" i="13"/>
  <c r="L26" i="13"/>
  <c r="L27" i="13"/>
  <c r="L28" i="13"/>
  <c r="O28" i="13" s="1"/>
  <c r="Q28" i="13" s="1"/>
  <c r="L29" i="13"/>
  <c r="L30" i="13"/>
  <c r="L31" i="13"/>
  <c r="L32" i="13"/>
  <c r="L33" i="13"/>
  <c r="L34" i="13"/>
  <c r="L35" i="13"/>
  <c r="L36" i="13"/>
  <c r="L37" i="13"/>
  <c r="L38" i="13"/>
  <c r="O38" i="13" s="1"/>
  <c r="Q38" i="13" s="1"/>
  <c r="L39" i="13"/>
  <c r="L40" i="13"/>
  <c r="L41" i="13"/>
  <c r="L42" i="13"/>
  <c r="L43" i="13"/>
  <c r="L44" i="13"/>
  <c r="O44" i="13" s="1"/>
  <c r="Q44" i="13" s="1"/>
  <c r="L45" i="13"/>
  <c r="L46" i="13"/>
  <c r="L47" i="13"/>
  <c r="O47" i="13" s="1"/>
  <c r="Q47" i="13" s="1"/>
  <c r="L48" i="13"/>
  <c r="L49" i="13"/>
  <c r="L50" i="13"/>
  <c r="L51" i="13"/>
  <c r="L52" i="13"/>
  <c r="L53" i="13"/>
  <c r="L54" i="13"/>
  <c r="O54" i="13" s="1"/>
  <c r="Q54" i="13" s="1"/>
  <c r="L55" i="13"/>
  <c r="O55" i="13" s="1"/>
  <c r="Q55" i="13" s="1"/>
  <c r="L56" i="13"/>
  <c r="L57" i="13"/>
  <c r="L58" i="13"/>
  <c r="L59" i="13"/>
  <c r="O59" i="13" s="1"/>
  <c r="Q59" i="13" s="1"/>
  <c r="L60" i="13"/>
  <c r="L61" i="13"/>
  <c r="O61" i="13" s="1"/>
  <c r="Q61" i="13" s="1"/>
  <c r="L62" i="13"/>
  <c r="L63" i="13"/>
  <c r="O63" i="13" s="1"/>
  <c r="Q63" i="13" s="1"/>
  <c r="L64" i="13"/>
  <c r="L65" i="13"/>
  <c r="L66" i="13"/>
  <c r="L5" i="13"/>
  <c r="I6" i="13"/>
  <c r="I7" i="13"/>
  <c r="I8" i="13"/>
  <c r="O8" i="13" s="1"/>
  <c r="Q8" i="13" s="1"/>
  <c r="I9" i="13"/>
  <c r="I10" i="13"/>
  <c r="I11" i="13"/>
  <c r="W11" i="13" s="1"/>
  <c r="I12" i="13"/>
  <c r="I13" i="13"/>
  <c r="I14" i="13"/>
  <c r="W14" i="13" s="1"/>
  <c r="Y14" i="13" s="1"/>
  <c r="I15" i="13"/>
  <c r="W15" i="13" s="1"/>
  <c r="Y15" i="13" s="1"/>
  <c r="I16" i="13"/>
  <c r="I17" i="13"/>
  <c r="W17" i="13" s="1"/>
  <c r="Y17" i="13" s="1"/>
  <c r="I18" i="13"/>
  <c r="W18" i="13" s="1"/>
  <c r="Y18" i="13" s="1"/>
  <c r="I19" i="13"/>
  <c r="W19" i="13" s="1"/>
  <c r="I20" i="13"/>
  <c r="W20" i="13" s="1"/>
  <c r="Y20" i="13" s="1"/>
  <c r="I21" i="13"/>
  <c r="I22" i="13"/>
  <c r="I23" i="13"/>
  <c r="W23" i="13" s="1"/>
  <c r="Y23" i="13" s="1"/>
  <c r="I24" i="13"/>
  <c r="I25" i="13"/>
  <c r="I26" i="13"/>
  <c r="W26" i="13" s="1"/>
  <c r="Y26" i="13" s="1"/>
  <c r="I27" i="13"/>
  <c r="I28" i="13"/>
  <c r="I29" i="13"/>
  <c r="W29" i="13" s="1"/>
  <c r="Y29" i="13" s="1"/>
  <c r="I30" i="13"/>
  <c r="W30" i="13" s="1"/>
  <c r="Y30" i="13" s="1"/>
  <c r="I31" i="13"/>
  <c r="I32" i="13"/>
  <c r="I33" i="13"/>
  <c r="W33" i="13" s="1"/>
  <c r="Y33" i="13" s="1"/>
  <c r="I34" i="13"/>
  <c r="W34" i="13" s="1"/>
  <c r="Y34" i="13" s="1"/>
  <c r="I35" i="13"/>
  <c r="I36" i="13"/>
  <c r="W36" i="13" s="1"/>
  <c r="Y36" i="13" s="1"/>
  <c r="I37" i="13"/>
  <c r="W37" i="13" s="1"/>
  <c r="Y37" i="13" s="1"/>
  <c r="I38" i="13"/>
  <c r="I39" i="13"/>
  <c r="O39" i="13" s="1"/>
  <c r="Q39" i="13" s="1"/>
  <c r="I40" i="13"/>
  <c r="I41" i="13"/>
  <c r="I42" i="13"/>
  <c r="W42" i="13" s="1"/>
  <c r="Y42" i="13" s="1"/>
  <c r="I43" i="13"/>
  <c r="I44" i="13"/>
  <c r="I45" i="13"/>
  <c r="I46" i="13"/>
  <c r="W46" i="13" s="1"/>
  <c r="Y46" i="13" s="1"/>
  <c r="I47" i="13"/>
  <c r="I48" i="13"/>
  <c r="W48" i="13" s="1"/>
  <c r="Y48" i="13" s="1"/>
  <c r="I49" i="13"/>
  <c r="W49" i="13" s="1"/>
  <c r="Y49" i="13" s="1"/>
  <c r="I50" i="13"/>
  <c r="W50" i="13" s="1"/>
  <c r="Y50" i="13" s="1"/>
  <c r="I51" i="13"/>
  <c r="W51" i="13" s="1"/>
  <c r="I52" i="13"/>
  <c r="I53" i="13"/>
  <c r="W53" i="13" s="1"/>
  <c r="Y53" i="13" s="1"/>
  <c r="I54" i="13"/>
  <c r="I55" i="13"/>
  <c r="I56" i="13"/>
  <c r="I57" i="13"/>
  <c r="I58" i="13"/>
  <c r="I59" i="13"/>
  <c r="I60" i="13"/>
  <c r="I61" i="13"/>
  <c r="W61" i="13" s="1"/>
  <c r="Y61" i="13" s="1"/>
  <c r="I62" i="13"/>
  <c r="I63" i="13"/>
  <c r="I64" i="13"/>
  <c r="W64" i="13" s="1"/>
  <c r="Y64" i="13" s="1"/>
  <c r="I65" i="13"/>
  <c r="W65" i="13" s="1"/>
  <c r="Y65" i="13" s="1"/>
  <c r="I66" i="13"/>
  <c r="I5" i="13"/>
  <c r="Y5" i="13" s="1"/>
  <c r="W66" i="13"/>
  <c r="Y66" i="13" s="1"/>
  <c r="V66" i="13"/>
  <c r="N66" i="13"/>
  <c r="V65" i="13"/>
  <c r="N65" i="13"/>
  <c r="V64" i="13"/>
  <c r="N64" i="13"/>
  <c r="W63" i="13"/>
  <c r="Y63" i="13" s="1"/>
  <c r="V63" i="13"/>
  <c r="N63" i="13"/>
  <c r="W62" i="13"/>
  <c r="Y62" i="13" s="1"/>
  <c r="V62" i="13"/>
  <c r="N62" i="13"/>
  <c r="V61" i="13"/>
  <c r="N61" i="13"/>
  <c r="W60" i="13"/>
  <c r="Y60" i="13" s="1"/>
  <c r="V60" i="13"/>
  <c r="O60" i="13"/>
  <c r="Q60" i="13" s="1"/>
  <c r="N60" i="13"/>
  <c r="W59" i="13"/>
  <c r="V59" i="13"/>
  <c r="N59" i="13"/>
  <c r="W58" i="13"/>
  <c r="Y58" i="13" s="1"/>
  <c r="V58" i="13"/>
  <c r="N58" i="13"/>
  <c r="W57" i="13"/>
  <c r="Y57" i="13" s="1"/>
  <c r="V57" i="13"/>
  <c r="O57" i="13"/>
  <c r="N57" i="13"/>
  <c r="W56" i="13"/>
  <c r="Y56" i="13" s="1"/>
  <c r="V56" i="13"/>
  <c r="O56" i="13"/>
  <c r="Q56" i="13" s="1"/>
  <c r="N56" i="13"/>
  <c r="W55" i="13"/>
  <c r="Y55" i="13" s="1"/>
  <c r="V55" i="13"/>
  <c r="N55" i="13"/>
  <c r="W54" i="13"/>
  <c r="Y54" i="13" s="1"/>
  <c r="V54" i="13"/>
  <c r="N54" i="13"/>
  <c r="V53" i="13"/>
  <c r="N53" i="13"/>
  <c r="V52" i="13"/>
  <c r="N52" i="13"/>
  <c r="V51" i="13"/>
  <c r="O51" i="13"/>
  <c r="Q51" i="13" s="1"/>
  <c r="N51" i="13"/>
  <c r="V50" i="13"/>
  <c r="N50" i="13"/>
  <c r="V49" i="13"/>
  <c r="N49" i="13"/>
  <c r="V48" i="13"/>
  <c r="O48" i="13"/>
  <c r="Q48" i="13" s="1"/>
  <c r="N48" i="13"/>
  <c r="W47" i="13"/>
  <c r="Y47" i="13" s="1"/>
  <c r="V47" i="13"/>
  <c r="N47" i="13"/>
  <c r="V46" i="13"/>
  <c r="N46" i="13"/>
  <c r="W45" i="13"/>
  <c r="Y45" i="13" s="1"/>
  <c r="V45" i="13"/>
  <c r="O45" i="13"/>
  <c r="Q45" i="13" s="1"/>
  <c r="N45" i="13"/>
  <c r="W44" i="13"/>
  <c r="Y44" i="13" s="1"/>
  <c r="V44" i="13"/>
  <c r="N44" i="13"/>
  <c r="W43" i="13"/>
  <c r="V43" i="13"/>
  <c r="O43" i="13"/>
  <c r="Q43" i="13" s="1"/>
  <c r="N43" i="13"/>
  <c r="V42" i="13"/>
  <c r="N42" i="13"/>
  <c r="W41" i="13"/>
  <c r="Y41" i="13" s="1"/>
  <c r="V41" i="13"/>
  <c r="O41" i="13"/>
  <c r="N41" i="13"/>
  <c r="W40" i="13"/>
  <c r="Y40" i="13" s="1"/>
  <c r="V40" i="13"/>
  <c r="O40" i="13"/>
  <c r="Q40" i="13" s="1"/>
  <c r="N40" i="13"/>
  <c r="W39" i="13"/>
  <c r="Y39" i="13" s="1"/>
  <c r="V39" i="13"/>
  <c r="N39" i="13"/>
  <c r="W38" i="13"/>
  <c r="Y38" i="13" s="1"/>
  <c r="V38" i="13"/>
  <c r="N38" i="13"/>
  <c r="V37" i="13"/>
  <c r="N37" i="13"/>
  <c r="V36" i="13"/>
  <c r="N36" i="13"/>
  <c r="W35" i="13"/>
  <c r="Y35" i="13" s="1"/>
  <c r="V35" i="13"/>
  <c r="N35" i="13"/>
  <c r="V34" i="13"/>
  <c r="N34" i="13"/>
  <c r="V33" i="13"/>
  <c r="N33" i="13"/>
  <c r="W32" i="13"/>
  <c r="Y32" i="13" s="1"/>
  <c r="V32" i="13"/>
  <c r="O32" i="13"/>
  <c r="Q32" i="13" s="1"/>
  <c r="N32" i="13"/>
  <c r="W31" i="13"/>
  <c r="Y31" i="13" s="1"/>
  <c r="V31" i="13"/>
  <c r="N31" i="13"/>
  <c r="V30" i="13"/>
  <c r="N30" i="13"/>
  <c r="V29" i="13"/>
  <c r="O29" i="13"/>
  <c r="Q29" i="13" s="1"/>
  <c r="N29" i="13"/>
  <c r="W28" i="13"/>
  <c r="Y28" i="13" s="1"/>
  <c r="V28" i="13"/>
  <c r="N28" i="13"/>
  <c r="W27" i="13"/>
  <c r="V27" i="13"/>
  <c r="N27" i="13"/>
  <c r="V26" i="13"/>
  <c r="O26" i="13"/>
  <c r="Q26" i="13" s="1"/>
  <c r="N26" i="13"/>
  <c r="W25" i="13"/>
  <c r="Y25" i="13" s="1"/>
  <c r="V25" i="13"/>
  <c r="O25" i="13"/>
  <c r="Q25" i="13" s="1"/>
  <c r="N25" i="13"/>
  <c r="W24" i="13"/>
  <c r="Y24" i="13" s="1"/>
  <c r="V24" i="13"/>
  <c r="O24" i="13"/>
  <c r="Q24" i="13" s="1"/>
  <c r="N24" i="13"/>
  <c r="V23" i="13"/>
  <c r="N23" i="13"/>
  <c r="W22" i="13"/>
  <c r="Y22" i="13" s="1"/>
  <c r="V22" i="13"/>
  <c r="N22" i="13"/>
  <c r="V21" i="13"/>
  <c r="N21" i="13"/>
  <c r="V20" i="13"/>
  <c r="N20" i="13"/>
  <c r="V19" i="13"/>
  <c r="N19" i="13"/>
  <c r="V18" i="13"/>
  <c r="N18" i="13"/>
  <c r="V17" i="13"/>
  <c r="N17" i="13"/>
  <c r="W16" i="13"/>
  <c r="Y16" i="13" s="1"/>
  <c r="V16" i="13"/>
  <c r="O16" i="13"/>
  <c r="Q16" i="13" s="1"/>
  <c r="N16" i="13"/>
  <c r="V15" i="13"/>
  <c r="N15" i="13"/>
  <c r="V14" i="13"/>
  <c r="N14" i="13"/>
  <c r="W13" i="13"/>
  <c r="Y13" i="13" s="1"/>
  <c r="V13" i="13"/>
  <c r="O13" i="13"/>
  <c r="Q13" i="13" s="1"/>
  <c r="N13" i="13"/>
  <c r="W12" i="13"/>
  <c r="Y12" i="13" s="1"/>
  <c r="V12" i="13"/>
  <c r="N12" i="13"/>
  <c r="V11" i="13"/>
  <c r="N11" i="13"/>
  <c r="W10" i="13"/>
  <c r="Y10" i="13" s="1"/>
  <c r="V10" i="13"/>
  <c r="O10" i="13"/>
  <c r="Q10" i="13" s="1"/>
  <c r="N10" i="13"/>
  <c r="W9" i="13"/>
  <c r="Y9" i="13" s="1"/>
  <c r="V9" i="13"/>
  <c r="O9" i="13"/>
  <c r="N9" i="13"/>
  <c r="W8" i="13"/>
  <c r="Y8" i="13" s="1"/>
  <c r="V8" i="13"/>
  <c r="N8" i="13"/>
  <c r="W7" i="13"/>
  <c r="Y7" i="13" s="1"/>
  <c r="V7" i="13"/>
  <c r="N7" i="13"/>
  <c r="W6" i="13"/>
  <c r="V6" i="13"/>
  <c r="N6" i="13"/>
  <c r="V5" i="13"/>
  <c r="T7" i="66"/>
  <c r="S6" i="66"/>
  <c r="Q7" i="66"/>
  <c r="O6" i="66"/>
  <c r="M7" i="66"/>
  <c r="S7" i="66" s="1"/>
  <c r="C6" i="66" s="1"/>
  <c r="M8" i="66"/>
  <c r="S8" i="66" s="1"/>
  <c r="C7" i="66" s="1"/>
  <c r="M9" i="66"/>
  <c r="S9" i="66" s="1"/>
  <c r="C8" i="66" s="1"/>
  <c r="M10" i="66"/>
  <c r="M11" i="66"/>
  <c r="M6" i="66"/>
  <c r="I7" i="66"/>
  <c r="I8" i="66"/>
  <c r="T8" i="66" s="1"/>
  <c r="D7" i="66" s="1"/>
  <c r="I9" i="66"/>
  <c r="I10" i="66"/>
  <c r="I11" i="66"/>
  <c r="I6" i="66"/>
  <c r="T11" i="66"/>
  <c r="D10" i="66" s="1"/>
  <c r="O11" i="66"/>
  <c r="S11" i="66"/>
  <c r="C10" i="66" s="1"/>
  <c r="Q11" i="66"/>
  <c r="B10" i="66" s="1"/>
  <c r="T10" i="66"/>
  <c r="D9" i="66" s="1"/>
  <c r="S10" i="66"/>
  <c r="C9" i="66" s="1"/>
  <c r="Q10" i="66"/>
  <c r="B9" i="66" s="1"/>
  <c r="O10" i="66"/>
  <c r="T9" i="66"/>
  <c r="D8" i="66" s="1"/>
  <c r="O9" i="66"/>
  <c r="O8" i="66"/>
  <c r="O7" i="66"/>
  <c r="D6" i="66"/>
  <c r="T6" i="66"/>
  <c r="Y14" i="65"/>
  <c r="Z14" i="65"/>
  <c r="AA14" i="65"/>
  <c r="AB14" i="65"/>
  <c r="AC14" i="65"/>
  <c r="AD14" i="65"/>
  <c r="Y15" i="65"/>
  <c r="Z15" i="65"/>
  <c r="AA15" i="65"/>
  <c r="AB15" i="65"/>
  <c r="AC15" i="65"/>
  <c r="AD15" i="65"/>
  <c r="X15" i="65"/>
  <c r="X14" i="65"/>
  <c r="X12" i="65"/>
  <c r="O7" i="65"/>
  <c r="AB7" i="65" s="1"/>
  <c r="O8" i="65"/>
  <c r="AD8" i="65" s="1"/>
  <c r="O9" i="65"/>
  <c r="O10" i="65"/>
  <c r="O11" i="65"/>
  <c r="Z11" i="65" s="1"/>
  <c r="O12" i="65"/>
  <c r="AC12" i="65" s="1"/>
  <c r="O6" i="65"/>
  <c r="AD6" i="65" s="1"/>
  <c r="L7" i="65"/>
  <c r="L8" i="65"/>
  <c r="L9" i="65"/>
  <c r="L10" i="65"/>
  <c r="L11" i="65"/>
  <c r="L6" i="65"/>
  <c r="L14" i="65" s="1"/>
  <c r="F14" i="65"/>
  <c r="G14" i="65"/>
  <c r="H14" i="65"/>
  <c r="I14" i="65"/>
  <c r="J14" i="65"/>
  <c r="K14" i="65"/>
  <c r="F15" i="65"/>
  <c r="E15" i="65"/>
  <c r="E14" i="65"/>
  <c r="F7" i="65"/>
  <c r="F8" i="65"/>
  <c r="F9" i="65"/>
  <c r="F10" i="65"/>
  <c r="F11" i="65"/>
  <c r="F12" i="65"/>
  <c r="F6" i="65"/>
  <c r="E7" i="65"/>
  <c r="E8" i="65"/>
  <c r="E9" i="65"/>
  <c r="E10" i="65"/>
  <c r="E11" i="65"/>
  <c r="E12" i="65"/>
  <c r="E6" i="65"/>
  <c r="AD12" i="65"/>
  <c r="Y12" i="65"/>
  <c r="AD10" i="65"/>
  <c r="AC10" i="65"/>
  <c r="AB10" i="65"/>
  <c r="Y10" i="65"/>
  <c r="X10" i="65"/>
  <c r="AA10" i="65"/>
  <c r="AD9" i="65"/>
  <c r="AC9" i="65"/>
  <c r="AB9" i="65"/>
  <c r="AA9" i="65"/>
  <c r="Z9" i="65"/>
  <c r="Y9" i="65"/>
  <c r="X9" i="65"/>
  <c r="Y6" i="65"/>
  <c r="AA22" i="73" l="1"/>
  <c r="AA20" i="73"/>
  <c r="AA19" i="73"/>
  <c r="AA18" i="73"/>
  <c r="AA17" i="73"/>
  <c r="AA16" i="73"/>
  <c r="AA15" i="73"/>
  <c r="AA14" i="73"/>
  <c r="AA13" i="73"/>
  <c r="AA12" i="73"/>
  <c r="AA11" i="73"/>
  <c r="AA10" i="73"/>
  <c r="AA9" i="73"/>
  <c r="AA8" i="73"/>
  <c r="W22" i="73"/>
  <c r="W21" i="73"/>
  <c r="W20" i="73"/>
  <c r="W19" i="73"/>
  <c r="W18" i="73"/>
  <c r="W17" i="73"/>
  <c r="W16" i="73"/>
  <c r="W15" i="73"/>
  <c r="W14" i="73"/>
  <c r="W13" i="73"/>
  <c r="W12" i="73"/>
  <c r="W11" i="73"/>
  <c r="W10" i="73"/>
  <c r="W9" i="73"/>
  <c r="W8" i="73"/>
  <c r="W7" i="73"/>
  <c r="S22" i="73"/>
  <c r="S21" i="73"/>
  <c r="S20" i="73"/>
  <c r="S19" i="73"/>
  <c r="S18" i="73"/>
  <c r="S17" i="73"/>
  <c r="S16" i="73"/>
  <c r="S15" i="73"/>
  <c r="S14" i="73"/>
  <c r="S13" i="73"/>
  <c r="S12" i="73"/>
  <c r="S11" i="73"/>
  <c r="S10" i="73"/>
  <c r="S9" i="73"/>
  <c r="S8" i="73"/>
  <c r="S7" i="73"/>
  <c r="O22" i="73"/>
  <c r="O21" i="73"/>
  <c r="O20" i="73"/>
  <c r="O19" i="73"/>
  <c r="O18" i="73"/>
  <c r="O17" i="73"/>
  <c r="O16" i="73"/>
  <c r="O15" i="73"/>
  <c r="O14" i="73"/>
  <c r="O13" i="73"/>
  <c r="O12" i="73"/>
  <c r="O11" i="73"/>
  <c r="O10" i="73"/>
  <c r="O9" i="73"/>
  <c r="O8" i="73"/>
  <c r="O7" i="73"/>
  <c r="K22" i="73"/>
  <c r="K21" i="73"/>
  <c r="K20" i="73"/>
  <c r="K19" i="73"/>
  <c r="K18" i="73"/>
  <c r="K17" i="73"/>
  <c r="K16" i="73"/>
  <c r="K15" i="73"/>
  <c r="K14" i="73"/>
  <c r="K13" i="73"/>
  <c r="K12" i="73"/>
  <c r="K11" i="73"/>
  <c r="K10" i="73"/>
  <c r="K9" i="73"/>
  <c r="K8" i="73"/>
  <c r="K7" i="73"/>
  <c r="G22" i="73"/>
  <c r="G21" i="73"/>
  <c r="G19" i="73"/>
  <c r="G18" i="73"/>
  <c r="G17" i="73"/>
  <c r="G16" i="73"/>
  <c r="G15" i="73"/>
  <c r="G14" i="73"/>
  <c r="G13" i="73"/>
  <c r="G12" i="73"/>
  <c r="G11" i="73"/>
  <c r="G10" i="73"/>
  <c r="G9" i="73"/>
  <c r="G8" i="73"/>
  <c r="G7" i="73"/>
  <c r="C22" i="73"/>
  <c r="C20" i="73"/>
  <c r="C19" i="73"/>
  <c r="C17" i="73"/>
  <c r="C16" i="73"/>
  <c r="C15" i="73"/>
  <c r="C14" i="73"/>
  <c r="C13" i="73"/>
  <c r="AA21" i="73"/>
  <c r="C21" i="73"/>
  <c r="C18" i="73"/>
  <c r="C11" i="73"/>
  <c r="C9" i="73"/>
  <c r="C7" i="73"/>
  <c r="G20" i="73"/>
  <c r="AA7" i="73"/>
  <c r="C12" i="73"/>
  <c r="C10" i="73"/>
  <c r="C8" i="73"/>
  <c r="M23" i="67"/>
  <c r="K56" i="67"/>
  <c r="M44" i="67"/>
  <c r="M22" i="67"/>
  <c r="K51" i="67"/>
  <c r="M32" i="67"/>
  <c r="M10" i="67"/>
  <c r="K28" i="67"/>
  <c r="L9" i="67"/>
  <c r="M29" i="67"/>
  <c r="L54" i="67"/>
  <c r="L45" i="67"/>
  <c r="K26" i="67"/>
  <c r="L29" i="67"/>
  <c r="K52" i="67"/>
  <c r="K54" i="67"/>
  <c r="K10" i="67"/>
  <c r="K29" i="67"/>
  <c r="K8" i="67"/>
  <c r="L10" i="67"/>
  <c r="M12" i="67"/>
  <c r="K41" i="67"/>
  <c r="K48" i="67"/>
  <c r="L48" i="67"/>
  <c r="K9" i="67"/>
  <c r="L15" i="67"/>
  <c r="M54" i="67"/>
  <c r="K40" i="67"/>
  <c r="K43" i="67"/>
  <c r="K47" i="67"/>
  <c r="M40" i="67"/>
  <c r="H57" i="67"/>
  <c r="L57" i="67" s="1"/>
  <c r="I57" i="67"/>
  <c r="M57" i="67" s="1"/>
  <c r="I38" i="67"/>
  <c r="M38" i="67" s="1"/>
  <c r="H38" i="67"/>
  <c r="L38" i="67" s="1"/>
  <c r="M17" i="67"/>
  <c r="L20" i="67"/>
  <c r="H16" i="67"/>
  <c r="L16" i="67" s="1"/>
  <c r="I16" i="67"/>
  <c r="M16" i="67" s="1"/>
  <c r="I25" i="67"/>
  <c r="M25" i="67" s="1"/>
  <c r="H25" i="67"/>
  <c r="L25" i="67" s="1"/>
  <c r="I36" i="67"/>
  <c r="M36" i="67" s="1"/>
  <c r="I45" i="67"/>
  <c r="M45" i="67" s="1"/>
  <c r="H56" i="67"/>
  <c r="H17" i="67"/>
  <c r="L17" i="67" s="1"/>
  <c r="I13" i="67"/>
  <c r="M13" i="67" s="1"/>
  <c r="M24" i="67"/>
  <c r="M11" i="67"/>
  <c r="I56" i="67"/>
  <c r="M56" i="67" s="1"/>
  <c r="L23" i="67"/>
  <c r="I43" i="67"/>
  <c r="M43" i="67" s="1"/>
  <c r="K55" i="67"/>
  <c r="H34" i="67"/>
  <c r="L34" i="67" s="1"/>
  <c r="L43" i="67"/>
  <c r="H49" i="67"/>
  <c r="L49" i="67" s="1"/>
  <c r="I34" i="67"/>
  <c r="M34" i="67" s="1"/>
  <c r="L51" i="67"/>
  <c r="I55" i="67"/>
  <c r="M55" i="67" s="1"/>
  <c r="K20" i="67"/>
  <c r="M51" i="67"/>
  <c r="K53" i="67"/>
  <c r="K6" i="67"/>
  <c r="K19" i="67"/>
  <c r="I9" i="67"/>
  <c r="K33" i="67"/>
  <c r="L27" i="67"/>
  <c r="H33" i="67"/>
  <c r="L33" i="67" s="1"/>
  <c r="H47" i="67"/>
  <c r="L47" i="67" s="1"/>
  <c r="I27" i="67"/>
  <c r="M27" i="67" s="1"/>
  <c r="I48" i="67"/>
  <c r="M48" i="67" s="1"/>
  <c r="L52" i="67"/>
  <c r="L7" i="67"/>
  <c r="K25" i="67"/>
  <c r="H26" i="67"/>
  <c r="L26" i="67" s="1"/>
  <c r="M35" i="67"/>
  <c r="I39" i="67"/>
  <c r="M39" i="67" s="1"/>
  <c r="K46" i="67"/>
  <c r="M52" i="67"/>
  <c r="K57" i="67"/>
  <c r="M7" i="67"/>
  <c r="I26" i="67"/>
  <c r="M26" i="67" s="1"/>
  <c r="K37" i="67"/>
  <c r="K36" i="67"/>
  <c r="H37" i="67"/>
  <c r="L37" i="67" s="1"/>
  <c r="K50" i="67"/>
  <c r="I28" i="67"/>
  <c r="M28" i="67" s="1"/>
  <c r="I20" i="67"/>
  <c r="M20" i="67" s="1"/>
  <c r="K22" i="67"/>
  <c r="H11" i="67"/>
  <c r="L11" i="67" s="1"/>
  <c r="I53" i="67"/>
  <c r="M53" i="67" s="1"/>
  <c r="H21" i="67"/>
  <c r="L21" i="67" s="1"/>
  <c r="K39" i="67"/>
  <c r="I6" i="67"/>
  <c r="M6" i="67" s="1"/>
  <c r="K11" i="67"/>
  <c r="H24" i="67"/>
  <c r="L24" i="67" s="1"/>
  <c r="H36" i="67"/>
  <c r="L36" i="67" s="1"/>
  <c r="K44" i="67"/>
  <c r="I19" i="67"/>
  <c r="M19" i="67" s="1"/>
  <c r="H19" i="67"/>
  <c r="L19" i="67" s="1"/>
  <c r="I30" i="67"/>
  <c r="M30" i="67" s="1"/>
  <c r="H30" i="67"/>
  <c r="L30" i="67" s="1"/>
  <c r="I41" i="67"/>
  <c r="M41" i="67" s="1"/>
  <c r="H41" i="67"/>
  <c r="L41" i="67" s="1"/>
  <c r="H28" i="67"/>
  <c r="L28" i="67" s="1"/>
  <c r="M33" i="67"/>
  <c r="I46" i="67"/>
  <c r="M46" i="67" s="1"/>
  <c r="H46" i="67"/>
  <c r="L46" i="67" s="1"/>
  <c r="K16" i="67"/>
  <c r="H8" i="67"/>
  <c r="K15" i="67"/>
  <c r="I14" i="67"/>
  <c r="M14" i="67" s="1"/>
  <c r="H14" i="67"/>
  <c r="L14" i="67" s="1"/>
  <c r="I8" i="67"/>
  <c r="M8" i="67" s="1"/>
  <c r="H32" i="67"/>
  <c r="L32" i="67" s="1"/>
  <c r="I37" i="67"/>
  <c r="M37" i="67" s="1"/>
  <c r="K32" i="67"/>
  <c r="K17" i="67"/>
  <c r="K23" i="67"/>
  <c r="M42" i="67"/>
  <c r="I47" i="67"/>
  <c r="M47" i="67" s="1"/>
  <c r="H53" i="67"/>
  <c r="L53" i="67" s="1"/>
  <c r="K34" i="67"/>
  <c r="K21" i="67"/>
  <c r="M49" i="67"/>
  <c r="H18" i="67"/>
  <c r="L18" i="67" s="1"/>
  <c r="H50" i="67"/>
  <c r="L50" i="67" s="1"/>
  <c r="K31" i="67"/>
  <c r="K35" i="67"/>
  <c r="I50" i="67"/>
  <c r="M50" i="67" s="1"/>
  <c r="I21" i="67"/>
  <c r="M21" i="67" s="1"/>
  <c r="K18" i="67"/>
  <c r="K14" i="67"/>
  <c r="I18" i="67"/>
  <c r="M18" i="67" s="1"/>
  <c r="L6" i="67"/>
  <c r="I15" i="67"/>
  <c r="M15" i="67" s="1"/>
  <c r="H22" i="67"/>
  <c r="L22" i="67" s="1"/>
  <c r="K24" i="67"/>
  <c r="H31" i="67"/>
  <c r="L31" i="67" s="1"/>
  <c r="L35" i="67"/>
  <c r="L42" i="67"/>
  <c r="K30" i="67"/>
  <c r="I31" i="67"/>
  <c r="M31" i="67" s="1"/>
  <c r="L56" i="67"/>
  <c r="H40" i="67"/>
  <c r="L40" i="67" s="1"/>
  <c r="K49" i="67"/>
  <c r="O21" i="13"/>
  <c r="Q21" i="13" s="1"/>
  <c r="O52" i="13"/>
  <c r="Q52" i="13" s="1"/>
  <c r="O35" i="13"/>
  <c r="Q35" i="13" s="1"/>
  <c r="O66" i="13"/>
  <c r="Q66" i="13" s="1"/>
  <c r="O31" i="13"/>
  <c r="Q31" i="13" s="1"/>
  <c r="O62" i="13"/>
  <c r="Q62" i="13" s="1"/>
  <c r="O27" i="13"/>
  <c r="Q27" i="13" s="1"/>
  <c r="O58" i="13"/>
  <c r="Q58" i="13" s="1"/>
  <c r="O36" i="13"/>
  <c r="Q36" i="13" s="1"/>
  <c r="O17" i="13"/>
  <c r="Q17" i="13" s="1"/>
  <c r="O64" i="13"/>
  <c r="Q64" i="13" s="1"/>
  <c r="W21" i="13"/>
  <c r="Y21" i="13" s="1"/>
  <c r="O33" i="13"/>
  <c r="O37" i="13"/>
  <c r="Q37" i="13" s="1"/>
  <c r="W52" i="13"/>
  <c r="Y52" i="13" s="1"/>
  <c r="O14" i="13"/>
  <c r="Q14" i="13" s="1"/>
  <c r="O18" i="13"/>
  <c r="Q18" i="13" s="1"/>
  <c r="O49" i="13"/>
  <c r="Q49" i="13" s="1"/>
  <c r="O53" i="13"/>
  <c r="Q53" i="13" s="1"/>
  <c r="O30" i="13"/>
  <c r="Q30" i="13" s="1"/>
  <c r="O34" i="13"/>
  <c r="Q34" i="13" s="1"/>
  <c r="O65" i="13"/>
  <c r="Q65" i="13" s="1"/>
  <c r="O11" i="13"/>
  <c r="Q11" i="13" s="1"/>
  <c r="O15" i="13"/>
  <c r="Q15" i="13" s="1"/>
  <c r="O42" i="13"/>
  <c r="Q42" i="13" s="1"/>
  <c r="O46" i="13"/>
  <c r="Q46" i="13" s="1"/>
  <c r="O19" i="13"/>
  <c r="Q19" i="13" s="1"/>
  <c r="O50" i="13"/>
  <c r="Q50" i="13" s="1"/>
  <c r="Y11" i="13"/>
  <c r="Q57" i="13"/>
  <c r="Q33" i="13"/>
  <c r="Y43" i="13"/>
  <c r="Q9" i="13"/>
  <c r="Y19" i="13"/>
  <c r="Y6" i="13"/>
  <c r="Q41" i="13"/>
  <c r="Y51" i="13"/>
  <c r="Y27" i="13"/>
  <c r="Y59" i="13"/>
  <c r="Q8" i="66"/>
  <c r="B7" i="66" s="1"/>
  <c r="Q9" i="66"/>
  <c r="B8" i="66" s="1"/>
  <c r="Q6" i="66"/>
  <c r="B6" i="66"/>
  <c r="X7" i="65"/>
  <c r="Y7" i="65"/>
  <c r="X8" i="65"/>
  <c r="Y8" i="65"/>
  <c r="X11" i="65"/>
  <c r="Y11" i="65"/>
  <c r="AA6" i="65"/>
  <c r="AB6" i="65"/>
  <c r="AC6" i="65"/>
  <c r="L15" i="65"/>
  <c r="B13" i="65" s="1"/>
  <c r="B6" i="65"/>
  <c r="Z8" i="65"/>
  <c r="AA8" i="65"/>
  <c r="AB8" i="65"/>
  <c r="AC8" i="65"/>
  <c r="AC11" i="65"/>
  <c r="Z7" i="65"/>
  <c r="AA7" i="65"/>
  <c r="AA11" i="65"/>
  <c r="AB11" i="65"/>
  <c r="AC7" i="65"/>
  <c r="Z6" i="65"/>
  <c r="AD7" i="65"/>
  <c r="Z10" i="65"/>
  <c r="AD11" i="65"/>
  <c r="AB12" i="65"/>
  <c r="Z12" i="65"/>
  <c r="AA12" i="65"/>
  <c r="K15" i="65" l="1"/>
  <c r="B11" i="65" s="1"/>
  <c r="H15" i="65"/>
  <c r="B8" i="65" s="1"/>
  <c r="J15" i="65"/>
  <c r="B10" i="65" s="1"/>
  <c r="G15" i="65"/>
  <c r="B7" i="65" s="1"/>
  <c r="I15" i="65"/>
  <c r="B9" i="65" s="1"/>
  <c r="N21" i="64" l="1"/>
  <c r="N20" i="64"/>
  <c r="M20" i="64"/>
  <c r="K20" i="64"/>
  <c r="C20" i="64"/>
  <c r="B20" i="64"/>
  <c r="N19" i="64"/>
  <c r="M19" i="64"/>
  <c r="K19" i="64"/>
  <c r="C19" i="64"/>
  <c r="B19" i="64"/>
  <c r="N18" i="64"/>
  <c r="M18" i="64"/>
  <c r="K18" i="64"/>
  <c r="C18" i="64"/>
  <c r="B18" i="64"/>
  <c r="N17" i="64"/>
  <c r="M17" i="64"/>
  <c r="K17" i="64"/>
  <c r="C17" i="64"/>
  <c r="B17" i="64"/>
  <c r="N16" i="64"/>
  <c r="M16" i="64"/>
  <c r="K16" i="64"/>
  <c r="C16" i="64"/>
  <c r="B16" i="64"/>
  <c r="N15" i="64"/>
  <c r="M15" i="64"/>
  <c r="K15" i="64"/>
  <c r="C15" i="64"/>
  <c r="B15" i="64"/>
  <c r="N14" i="64"/>
  <c r="M14" i="64"/>
  <c r="K14" i="64"/>
  <c r="C14" i="64"/>
  <c r="B14" i="64"/>
  <c r="N13" i="64"/>
  <c r="M13" i="64"/>
  <c r="K13" i="64"/>
  <c r="C13" i="64"/>
  <c r="B13" i="64"/>
  <c r="N12" i="64"/>
  <c r="M12" i="64"/>
  <c r="K12" i="64"/>
  <c r="C12" i="64"/>
  <c r="B12" i="64"/>
  <c r="N11" i="64"/>
  <c r="M11" i="64"/>
  <c r="K11" i="64"/>
  <c r="C11" i="64"/>
  <c r="B11" i="64"/>
  <c r="N10" i="64"/>
  <c r="M10" i="64"/>
  <c r="K10" i="64"/>
  <c r="C10" i="64"/>
  <c r="B10" i="64"/>
  <c r="N9" i="64"/>
  <c r="M9" i="64"/>
  <c r="K9" i="64"/>
  <c r="C9" i="64"/>
  <c r="B9" i="64"/>
  <c r="N8" i="64"/>
  <c r="M8" i="64"/>
  <c r="K8" i="64"/>
  <c r="C8" i="64"/>
  <c r="B8" i="64"/>
  <c r="N7" i="64"/>
  <c r="M7" i="64"/>
  <c r="K7" i="64"/>
  <c r="C7" i="64"/>
  <c r="B7" i="64"/>
  <c r="N6" i="64"/>
  <c r="M6" i="64"/>
  <c r="K6" i="64"/>
  <c r="C6" i="64"/>
  <c r="B6" i="64"/>
  <c r="K21" i="64" l="1"/>
  <c r="W8" i="46" l="1"/>
  <c r="W9" i="46"/>
  <c r="W10" i="46"/>
  <c r="W11" i="46"/>
  <c r="W12" i="46"/>
  <c r="W13" i="46"/>
  <c r="W14" i="46"/>
  <c r="W15" i="46"/>
  <c r="W16" i="46"/>
  <c r="W17" i="46"/>
  <c r="W18" i="46"/>
  <c r="W19" i="46"/>
  <c r="W20" i="46"/>
  <c r="W21" i="46"/>
  <c r="W22" i="46"/>
  <c r="W7" i="46"/>
  <c r="K8" i="46"/>
  <c r="K9" i="46"/>
  <c r="K10" i="46"/>
  <c r="K11" i="46"/>
  <c r="K12" i="46"/>
  <c r="K13" i="46"/>
  <c r="K14" i="46"/>
  <c r="K15" i="46"/>
  <c r="K16" i="46"/>
  <c r="K17" i="46"/>
  <c r="K18" i="46"/>
  <c r="K19" i="46"/>
  <c r="K20" i="46"/>
  <c r="K21" i="46"/>
  <c r="K22" i="46"/>
  <c r="K7" i="46"/>
  <c r="D55" i="63"/>
  <c r="D54" i="63"/>
  <c r="D53" i="63"/>
  <c r="D52" i="63"/>
  <c r="D51" i="63"/>
  <c r="D50" i="63"/>
  <c r="D49" i="63"/>
  <c r="D48" i="63"/>
  <c r="D47" i="63"/>
  <c r="D46" i="63"/>
  <c r="D45" i="63"/>
  <c r="D44" i="63"/>
  <c r="D43" i="63"/>
  <c r="D42" i="63"/>
  <c r="D41" i="63"/>
  <c r="D40" i="63"/>
  <c r="D39" i="63"/>
  <c r="D38" i="63"/>
  <c r="D37" i="63"/>
  <c r="D36" i="63"/>
  <c r="D35" i="63"/>
  <c r="D34" i="63"/>
  <c r="D33" i="63"/>
  <c r="D32" i="63"/>
  <c r="D31" i="63"/>
  <c r="D30" i="63"/>
  <c r="D29" i="63"/>
  <c r="D28" i="63"/>
  <c r="D27" i="63"/>
  <c r="D26" i="63"/>
  <c r="D25" i="63"/>
  <c r="D24" i="63"/>
  <c r="D23" i="63"/>
  <c r="D22" i="63"/>
  <c r="D21" i="63"/>
  <c r="D20" i="63"/>
  <c r="D19" i="63"/>
  <c r="D18" i="63"/>
  <c r="D17" i="63"/>
  <c r="D16" i="63"/>
  <c r="D15" i="63"/>
  <c r="D14" i="63"/>
  <c r="D13" i="63"/>
  <c r="D12" i="63"/>
  <c r="D11" i="63"/>
  <c r="D10" i="63"/>
  <c r="D9" i="63"/>
  <c r="D8" i="63"/>
  <c r="D7" i="63"/>
  <c r="D6" i="63"/>
  <c r="D5" i="63"/>
  <c r="E55" i="63"/>
  <c r="E54" i="63"/>
  <c r="E53" i="63"/>
  <c r="E52" i="63"/>
  <c r="E51" i="63"/>
  <c r="E50" i="63"/>
  <c r="E49" i="63"/>
  <c r="E48" i="63"/>
  <c r="E47" i="63"/>
  <c r="E46" i="63"/>
  <c r="E45" i="63"/>
  <c r="E44" i="63"/>
  <c r="E43" i="63"/>
  <c r="E42" i="63"/>
  <c r="E41" i="63"/>
  <c r="E40" i="63"/>
  <c r="E39" i="63"/>
  <c r="E38" i="63"/>
  <c r="E37" i="63"/>
  <c r="E36" i="63"/>
  <c r="E35" i="63"/>
  <c r="E34" i="63"/>
  <c r="E33" i="63"/>
  <c r="E32" i="63"/>
  <c r="E31" i="63"/>
  <c r="E30" i="63"/>
  <c r="E29" i="63"/>
  <c r="E28" i="63"/>
  <c r="E27" i="63"/>
  <c r="E26" i="63"/>
  <c r="E25" i="63"/>
  <c r="E24" i="63"/>
  <c r="E23" i="63"/>
  <c r="E22" i="63"/>
  <c r="E21" i="63"/>
  <c r="E20" i="63"/>
  <c r="E19" i="63"/>
  <c r="E18" i="63"/>
  <c r="E17" i="63"/>
  <c r="E16" i="63"/>
  <c r="E15" i="63"/>
  <c r="E14" i="63"/>
  <c r="E13" i="63"/>
  <c r="E12" i="63"/>
  <c r="E11" i="63"/>
  <c r="E10" i="63"/>
  <c r="E9" i="63"/>
  <c r="E8" i="63"/>
  <c r="E7" i="63"/>
  <c r="E6" i="63"/>
  <c r="E5" i="63"/>
  <c r="B27" i="18"/>
  <c r="O23" i="62"/>
  <c r="M23" i="62"/>
  <c r="B23" i="62"/>
  <c r="G14" i="43"/>
  <c r="K9" i="38"/>
  <c r="I6" i="58"/>
  <c r="E5" i="58"/>
  <c r="R9" i="53"/>
  <c r="P8" i="53"/>
  <c r="B29" i="7"/>
  <c r="B19" i="6"/>
  <c r="E23" i="62" l="1"/>
  <c r="D23" i="62"/>
  <c r="J23" i="62"/>
  <c r="I23" i="62"/>
  <c r="H23" i="62"/>
  <c r="G23" i="62"/>
  <c r="F23" i="62"/>
  <c r="C23" i="62"/>
  <c r="B36" i="18"/>
  <c r="E39" i="18"/>
  <c r="D39" i="18"/>
  <c r="C39" i="18"/>
  <c r="B39" i="18"/>
  <c r="B35" i="18"/>
  <c r="B34" i="18"/>
  <c r="B33" i="18"/>
  <c r="E32" i="18"/>
  <c r="D32" i="18"/>
  <c r="C32" i="18"/>
  <c r="B32" i="18"/>
  <c r="B29" i="18"/>
  <c r="B28" i="18"/>
  <c r="C25" i="18"/>
  <c r="B25" i="18"/>
  <c r="E25" i="18"/>
  <c r="D25" i="18"/>
  <c r="N28" i="62"/>
  <c r="M28" i="62"/>
  <c r="N27" i="62"/>
  <c r="M27" i="62"/>
  <c r="D9" i="54"/>
  <c r="B9" i="54"/>
  <c r="C9" i="54"/>
  <c r="E9" i="54"/>
  <c r="F9" i="54"/>
  <c r="G9" i="54"/>
  <c r="H9" i="54"/>
  <c r="U21" i="62"/>
  <c r="T21" i="62"/>
  <c r="S21" i="62"/>
  <c r="S23" i="62" s="1"/>
  <c r="R21" i="62"/>
  <c r="Q21" i="62"/>
  <c r="P21" i="62"/>
  <c r="O21" i="62"/>
  <c r="N21" i="62"/>
  <c r="N23" i="62" s="1"/>
  <c r="M21" i="62"/>
  <c r="U20" i="62"/>
  <c r="T20" i="62"/>
  <c r="S20" i="62"/>
  <c r="R20" i="62"/>
  <c r="Q20" i="62"/>
  <c r="P20" i="62"/>
  <c r="O20" i="62"/>
  <c r="N20" i="62"/>
  <c r="M20" i="62"/>
  <c r="U19" i="62"/>
  <c r="T19" i="62"/>
  <c r="S19" i="62"/>
  <c r="R19" i="62"/>
  <c r="Q19" i="62"/>
  <c r="P19" i="62"/>
  <c r="O19" i="62"/>
  <c r="N19" i="62"/>
  <c r="M19" i="62"/>
  <c r="U18" i="62"/>
  <c r="T18" i="62"/>
  <c r="S18" i="62"/>
  <c r="R18" i="62"/>
  <c r="Q18" i="62"/>
  <c r="P18" i="62"/>
  <c r="O18" i="62"/>
  <c r="N18" i="62"/>
  <c r="M18" i="62"/>
  <c r="U17" i="62"/>
  <c r="T17" i="62"/>
  <c r="S17" i="62"/>
  <c r="R17" i="62"/>
  <c r="Q17" i="62"/>
  <c r="P17" i="62"/>
  <c r="O17" i="62"/>
  <c r="N17" i="62"/>
  <c r="M17" i="62"/>
  <c r="U16" i="62"/>
  <c r="T16" i="62"/>
  <c r="S16" i="62"/>
  <c r="R16" i="62"/>
  <c r="Q16" i="62"/>
  <c r="P16" i="62"/>
  <c r="O16" i="62"/>
  <c r="N16" i="62"/>
  <c r="M16" i="62"/>
  <c r="U15" i="62"/>
  <c r="T15" i="62"/>
  <c r="S15" i="62"/>
  <c r="R15" i="62"/>
  <c r="Q15" i="62"/>
  <c r="P15" i="62"/>
  <c r="O15" i="62"/>
  <c r="N15" i="62"/>
  <c r="M15" i="62"/>
  <c r="U14" i="62"/>
  <c r="T14" i="62"/>
  <c r="S14" i="62"/>
  <c r="R14" i="62"/>
  <c r="Q14" i="62"/>
  <c r="P14" i="62"/>
  <c r="O14" i="62"/>
  <c r="N14" i="62"/>
  <c r="M14" i="62"/>
  <c r="U13" i="62"/>
  <c r="T13" i="62"/>
  <c r="S13" i="62"/>
  <c r="R13" i="62"/>
  <c r="Q13" i="62"/>
  <c r="P13" i="62"/>
  <c r="O13" i="62"/>
  <c r="N13" i="62"/>
  <c r="M13" i="62"/>
  <c r="U12" i="62"/>
  <c r="T12" i="62"/>
  <c r="S12" i="62"/>
  <c r="R12" i="62"/>
  <c r="Q12" i="62"/>
  <c r="P12" i="62"/>
  <c r="O12" i="62"/>
  <c r="N12" i="62"/>
  <c r="M12" i="62"/>
  <c r="U11" i="62"/>
  <c r="T11" i="62"/>
  <c r="S11" i="62"/>
  <c r="R11" i="62"/>
  <c r="Q11" i="62"/>
  <c r="P11" i="62"/>
  <c r="O11" i="62"/>
  <c r="N11" i="62"/>
  <c r="M11" i="62"/>
  <c r="U10" i="62"/>
  <c r="T10" i="62"/>
  <c r="S10" i="62"/>
  <c r="R10" i="62"/>
  <c r="Q10" i="62"/>
  <c r="P10" i="62"/>
  <c r="O10" i="62"/>
  <c r="N10" i="62"/>
  <c r="M10" i="62"/>
  <c r="U9" i="62"/>
  <c r="T9" i="62"/>
  <c r="S9" i="62"/>
  <c r="R9" i="62"/>
  <c r="Q9" i="62"/>
  <c r="P9" i="62"/>
  <c r="O9" i="62"/>
  <c r="N9" i="62"/>
  <c r="M9" i="62"/>
  <c r="U8" i="62"/>
  <c r="T8" i="62"/>
  <c r="S8" i="62"/>
  <c r="R8" i="62"/>
  <c r="Q8" i="62"/>
  <c r="P8" i="62"/>
  <c r="O8" i="62"/>
  <c r="N8" i="62"/>
  <c r="M8" i="62"/>
  <c r="U7" i="62"/>
  <c r="T7" i="62"/>
  <c r="S7" i="62"/>
  <c r="R7" i="62"/>
  <c r="Q7" i="62"/>
  <c r="P7" i="62"/>
  <c r="O7" i="62"/>
  <c r="N7" i="62"/>
  <c r="M7" i="62"/>
  <c r="U6" i="62"/>
  <c r="T6" i="62"/>
  <c r="S6" i="62"/>
  <c r="R6" i="62"/>
  <c r="Q6" i="62"/>
  <c r="P6" i="62"/>
  <c r="O6" i="62"/>
  <c r="N6" i="62"/>
  <c r="M6" i="62"/>
  <c r="U21" i="61"/>
  <c r="U20" i="61"/>
  <c r="U19" i="61"/>
  <c r="U18" i="61"/>
  <c r="U17" i="61"/>
  <c r="U16" i="61"/>
  <c r="U15" i="61"/>
  <c r="U14" i="61"/>
  <c r="U13" i="61"/>
  <c r="U12" i="61"/>
  <c r="U11" i="61"/>
  <c r="U10" i="61"/>
  <c r="U9" i="61"/>
  <c r="U8" i="61"/>
  <c r="U7" i="61"/>
  <c r="U6" i="61"/>
  <c r="T21" i="61"/>
  <c r="T20" i="61"/>
  <c r="T19" i="61"/>
  <c r="T18" i="61"/>
  <c r="T17" i="61"/>
  <c r="T16" i="61"/>
  <c r="T15" i="61"/>
  <c r="T14" i="61"/>
  <c r="T13" i="61"/>
  <c r="T12" i="61"/>
  <c r="T11" i="61"/>
  <c r="T10" i="61"/>
  <c r="T9" i="61"/>
  <c r="T8" i="61"/>
  <c r="T7" i="61"/>
  <c r="T6" i="61"/>
  <c r="S6" i="61"/>
  <c r="R6" i="61"/>
  <c r="Q6" i="61"/>
  <c r="P6" i="61"/>
  <c r="O6" i="61"/>
  <c r="N6" i="61"/>
  <c r="M6" i="61"/>
  <c r="S7" i="61"/>
  <c r="R7" i="61"/>
  <c r="Q7" i="61"/>
  <c r="P7" i="61"/>
  <c r="O7" i="61"/>
  <c r="N7" i="61"/>
  <c r="M7" i="61"/>
  <c r="S21" i="61"/>
  <c r="R21" i="61"/>
  <c r="Q21" i="61"/>
  <c r="P21" i="61"/>
  <c r="O21" i="61"/>
  <c r="N21" i="61"/>
  <c r="M21" i="61"/>
  <c r="S20" i="61"/>
  <c r="R20" i="61"/>
  <c r="Q20" i="61"/>
  <c r="P20" i="61"/>
  <c r="O20" i="61"/>
  <c r="N20" i="61"/>
  <c r="M20" i="61"/>
  <c r="S19" i="61"/>
  <c r="R19" i="61"/>
  <c r="Q19" i="61"/>
  <c r="P19" i="61"/>
  <c r="O19" i="61"/>
  <c r="N19" i="61"/>
  <c r="M19" i="61"/>
  <c r="S18" i="61"/>
  <c r="R18" i="61"/>
  <c r="Q18" i="61"/>
  <c r="P18" i="61"/>
  <c r="O18" i="61"/>
  <c r="N18" i="61"/>
  <c r="M18" i="61"/>
  <c r="S17" i="61"/>
  <c r="R17" i="61"/>
  <c r="Q17" i="61"/>
  <c r="P17" i="61"/>
  <c r="O17" i="61"/>
  <c r="N17" i="61"/>
  <c r="M17" i="61"/>
  <c r="S16" i="61"/>
  <c r="R16" i="61"/>
  <c r="Q16" i="61"/>
  <c r="P16" i="61"/>
  <c r="O16" i="61"/>
  <c r="N16" i="61"/>
  <c r="M16" i="61"/>
  <c r="S15" i="61"/>
  <c r="R15" i="61"/>
  <c r="Q15" i="61"/>
  <c r="P15" i="61"/>
  <c r="O15" i="61"/>
  <c r="N15" i="61"/>
  <c r="M15" i="61"/>
  <c r="S14" i="61"/>
  <c r="R14" i="61"/>
  <c r="Q14" i="61"/>
  <c r="P14" i="61"/>
  <c r="O14" i="61"/>
  <c r="N14" i="61"/>
  <c r="M14" i="61"/>
  <c r="S13" i="61"/>
  <c r="R13" i="61"/>
  <c r="Q13" i="61"/>
  <c r="P13" i="61"/>
  <c r="O13" i="61"/>
  <c r="N13" i="61"/>
  <c r="M13" i="61"/>
  <c r="S12" i="61"/>
  <c r="R12" i="61"/>
  <c r="Q12" i="61"/>
  <c r="P12" i="61"/>
  <c r="O12" i="61"/>
  <c r="N12" i="61"/>
  <c r="M12" i="61"/>
  <c r="S11" i="61"/>
  <c r="R11" i="61"/>
  <c r="Q11" i="61"/>
  <c r="P11" i="61"/>
  <c r="O11" i="61"/>
  <c r="N11" i="61"/>
  <c r="M11" i="61"/>
  <c r="S10" i="61"/>
  <c r="R10" i="61"/>
  <c r="Q10" i="61"/>
  <c r="P10" i="61"/>
  <c r="O10" i="61"/>
  <c r="N10" i="61"/>
  <c r="M10" i="61"/>
  <c r="S9" i="61"/>
  <c r="R9" i="61"/>
  <c r="Q9" i="61"/>
  <c r="P9" i="61"/>
  <c r="O9" i="61"/>
  <c r="N9" i="61"/>
  <c r="M9" i="61"/>
  <c r="S8" i="61"/>
  <c r="R8" i="61"/>
  <c r="Q8" i="61"/>
  <c r="P8" i="61"/>
  <c r="O8" i="61"/>
  <c r="N8" i="61"/>
  <c r="M8" i="61"/>
  <c r="B12" i="55"/>
  <c r="B8" i="55"/>
  <c r="B13" i="55" s="1"/>
  <c r="B8" i="54" s="1"/>
  <c r="C8" i="55"/>
  <c r="D8" i="55"/>
  <c r="E8" i="55"/>
  <c r="F8" i="55"/>
  <c r="G8" i="55"/>
  <c r="H8" i="55"/>
  <c r="I8" i="55"/>
  <c r="I13" i="55" s="1"/>
  <c r="J8" i="55"/>
  <c r="J13" i="55" s="1"/>
  <c r="J7" i="55"/>
  <c r="B7" i="55"/>
  <c r="C7" i="55"/>
  <c r="D7" i="55"/>
  <c r="E7" i="55"/>
  <c r="F7" i="55"/>
  <c r="G7" i="55"/>
  <c r="H7" i="55"/>
  <c r="I7" i="55"/>
  <c r="C6" i="55"/>
  <c r="C12" i="55" s="1"/>
  <c r="D6" i="55"/>
  <c r="E6" i="55"/>
  <c r="F6" i="55"/>
  <c r="G6" i="55"/>
  <c r="H6" i="55"/>
  <c r="I6" i="55"/>
  <c r="J6" i="55"/>
  <c r="B6" i="55"/>
  <c r="T6" i="55"/>
  <c r="M6" i="56"/>
  <c r="M6" i="55" s="1"/>
  <c r="N6" i="56"/>
  <c r="N6" i="55" s="1"/>
  <c r="O6" i="56"/>
  <c r="O6" i="55" s="1"/>
  <c r="P6" i="56"/>
  <c r="P6" i="55" s="1"/>
  <c r="Q6" i="56"/>
  <c r="Q6" i="55" s="1"/>
  <c r="R6" i="56"/>
  <c r="R6" i="55" s="1"/>
  <c r="S6" i="56"/>
  <c r="S6" i="55" s="1"/>
  <c r="T6" i="56"/>
  <c r="U6" i="56"/>
  <c r="U6" i="55" s="1"/>
  <c r="M7" i="56"/>
  <c r="N7" i="56"/>
  <c r="O7" i="56"/>
  <c r="P7" i="56"/>
  <c r="Q7" i="56"/>
  <c r="R7" i="56"/>
  <c r="S7" i="56"/>
  <c r="T7" i="56"/>
  <c r="U7" i="56"/>
  <c r="M8" i="56"/>
  <c r="N8" i="56"/>
  <c r="O8" i="56"/>
  <c r="P8" i="56"/>
  <c r="Q8" i="56"/>
  <c r="R8" i="56"/>
  <c r="S8" i="56"/>
  <c r="T8" i="56"/>
  <c r="U8" i="56"/>
  <c r="M9" i="56"/>
  <c r="N9" i="56"/>
  <c r="O9" i="56"/>
  <c r="P9" i="56"/>
  <c r="Q9" i="56"/>
  <c r="R9" i="56"/>
  <c r="S9" i="56"/>
  <c r="T9" i="56"/>
  <c r="U9" i="56"/>
  <c r="M10" i="56"/>
  <c r="N10" i="56"/>
  <c r="O10" i="56"/>
  <c r="P10" i="56"/>
  <c r="Q10" i="56"/>
  <c r="R10" i="56"/>
  <c r="S10" i="56"/>
  <c r="T10" i="56"/>
  <c r="U10" i="56"/>
  <c r="M11" i="56"/>
  <c r="N11" i="56"/>
  <c r="O11" i="56"/>
  <c r="P11" i="56"/>
  <c r="Q11" i="56"/>
  <c r="R11" i="56"/>
  <c r="S11" i="56"/>
  <c r="T11" i="56"/>
  <c r="U11" i="56"/>
  <c r="M12" i="56"/>
  <c r="N12" i="56"/>
  <c r="O12" i="56"/>
  <c r="P12" i="56"/>
  <c r="Q12" i="56"/>
  <c r="R12" i="56"/>
  <c r="S12" i="56"/>
  <c r="T12" i="56"/>
  <c r="U12" i="56"/>
  <c r="M13" i="56"/>
  <c r="N13" i="56"/>
  <c r="O13" i="56"/>
  <c r="P13" i="56"/>
  <c r="Q13" i="56"/>
  <c r="R13" i="56"/>
  <c r="S13" i="56"/>
  <c r="T13" i="56"/>
  <c r="U13" i="56"/>
  <c r="M14" i="56"/>
  <c r="N14" i="56"/>
  <c r="O14" i="56"/>
  <c r="O7" i="55" s="1"/>
  <c r="P14" i="56"/>
  <c r="Q14" i="56"/>
  <c r="R14" i="56"/>
  <c r="S14" i="56"/>
  <c r="S7" i="55" s="1"/>
  <c r="T14" i="56"/>
  <c r="U14" i="56"/>
  <c r="U7" i="55" s="1"/>
  <c r="M15" i="56"/>
  <c r="N15" i="56"/>
  <c r="O15" i="56"/>
  <c r="P15" i="56"/>
  <c r="Q15" i="56"/>
  <c r="R15" i="56"/>
  <c r="S15" i="56"/>
  <c r="T15" i="56"/>
  <c r="U15" i="56"/>
  <c r="M16" i="56"/>
  <c r="N16" i="56"/>
  <c r="O16" i="56"/>
  <c r="P16" i="56"/>
  <c r="Q16" i="56"/>
  <c r="R16" i="56"/>
  <c r="S16" i="56"/>
  <c r="T16" i="56"/>
  <c r="U16" i="56"/>
  <c r="M17" i="56"/>
  <c r="N17" i="56"/>
  <c r="O17" i="56"/>
  <c r="P17" i="56"/>
  <c r="Q17" i="56"/>
  <c r="R17" i="56"/>
  <c r="S17" i="56"/>
  <c r="T17" i="56"/>
  <c r="U17" i="56"/>
  <c r="M18" i="56"/>
  <c r="N18" i="56"/>
  <c r="O18" i="56"/>
  <c r="P18" i="56"/>
  <c r="Q18" i="56"/>
  <c r="R18" i="56"/>
  <c r="S18" i="56"/>
  <c r="T18" i="56"/>
  <c r="U18" i="56"/>
  <c r="M19" i="56"/>
  <c r="N19" i="56"/>
  <c r="O19" i="56"/>
  <c r="P19" i="56"/>
  <c r="Q19" i="56"/>
  <c r="R19" i="56"/>
  <c r="S19" i="56"/>
  <c r="T19" i="56"/>
  <c r="U19" i="56"/>
  <c r="M20" i="56"/>
  <c r="N20" i="56"/>
  <c r="O20" i="56"/>
  <c r="P20" i="56"/>
  <c r="Q20" i="56"/>
  <c r="R20" i="56"/>
  <c r="S20" i="56"/>
  <c r="T20" i="56"/>
  <c r="U20" i="56"/>
  <c r="M21" i="56"/>
  <c r="M8" i="55" s="1"/>
  <c r="N21" i="56"/>
  <c r="N8" i="55" s="1"/>
  <c r="O21" i="56"/>
  <c r="O8" i="55" s="1"/>
  <c r="P21" i="56"/>
  <c r="P8" i="55" s="1"/>
  <c r="Q21" i="56"/>
  <c r="Q8" i="55" s="1"/>
  <c r="R21" i="56"/>
  <c r="R8" i="55" s="1"/>
  <c r="S21" i="56"/>
  <c r="S8" i="55" s="1"/>
  <c r="T21" i="56"/>
  <c r="T8" i="55" s="1"/>
  <c r="U21" i="56"/>
  <c r="U8" i="55" s="1"/>
  <c r="L88" i="38"/>
  <c r="H5" i="58"/>
  <c r="C5" i="58"/>
  <c r="H15" i="58"/>
  <c r="I15" i="58" s="1"/>
  <c r="H14" i="58"/>
  <c r="E13" i="58"/>
  <c r="H13" i="58"/>
  <c r="H12" i="58"/>
  <c r="E11" i="58"/>
  <c r="H11" i="58"/>
  <c r="E10" i="58"/>
  <c r="H10" i="58"/>
  <c r="E9" i="58"/>
  <c r="H9" i="58"/>
  <c r="E8" i="58"/>
  <c r="H8" i="58"/>
  <c r="E7" i="58"/>
  <c r="H7" i="58"/>
  <c r="I7" i="58" s="1"/>
  <c r="E6" i="58"/>
  <c r="H6" i="58"/>
  <c r="C15" i="58"/>
  <c r="C8" i="58"/>
  <c r="I8" i="58" s="1"/>
  <c r="C7" i="58"/>
  <c r="C6" i="58"/>
  <c r="C14" i="58"/>
  <c r="I14" i="58" s="1"/>
  <c r="C13" i="58"/>
  <c r="I13" i="58" s="1"/>
  <c r="C12" i="58"/>
  <c r="C11" i="58"/>
  <c r="I11" i="58" s="1"/>
  <c r="C10" i="58"/>
  <c r="C9" i="58"/>
  <c r="I9" i="58" s="1"/>
  <c r="D5" i="32"/>
  <c r="D6" i="32"/>
  <c r="D7" i="32"/>
  <c r="D8" i="32"/>
  <c r="D9" i="32"/>
  <c r="D10" i="32"/>
  <c r="D11" i="32"/>
  <c r="D12" i="32"/>
  <c r="D13" i="32"/>
  <c r="D14" i="32"/>
  <c r="D15" i="32"/>
  <c r="D16" i="32"/>
  <c r="D17" i="32"/>
  <c r="D18" i="32"/>
  <c r="D19" i="32"/>
  <c r="D20" i="32"/>
  <c r="D21" i="32"/>
  <c r="D22" i="32"/>
  <c r="D23" i="32"/>
  <c r="D24" i="32"/>
  <c r="D25" i="32"/>
  <c r="D26" i="32"/>
  <c r="D27" i="32"/>
  <c r="D28" i="32"/>
  <c r="D29" i="32"/>
  <c r="D30" i="32"/>
  <c r="D31" i="32"/>
  <c r="D32" i="32"/>
  <c r="D33" i="32"/>
  <c r="D34" i="32"/>
  <c r="D35" i="32"/>
  <c r="D36" i="32"/>
  <c r="D37" i="32"/>
  <c r="D38" i="32"/>
  <c r="D39" i="32"/>
  <c r="D40" i="32"/>
  <c r="D41" i="32"/>
  <c r="D42" i="32"/>
  <c r="D43" i="32"/>
  <c r="D44" i="32"/>
  <c r="D45" i="32"/>
  <c r="D46" i="32"/>
  <c r="D47" i="32"/>
  <c r="D48" i="32"/>
  <c r="D49" i="32"/>
  <c r="D50" i="32"/>
  <c r="D51" i="32"/>
  <c r="D52" i="32"/>
  <c r="D53" i="32"/>
  <c r="D54" i="32"/>
  <c r="D55" i="32"/>
  <c r="K12" i="41"/>
  <c r="I12" i="58"/>
  <c r="I10" i="58"/>
  <c r="C19" i="6"/>
  <c r="D18" i="6"/>
  <c r="L20" i="27"/>
  <c r="K20" i="27"/>
  <c r="J66" i="20"/>
  <c r="N88" i="38"/>
  <c r="K88" i="38"/>
  <c r="H13" i="55"/>
  <c r="H8" i="54" s="1"/>
  <c r="G13" i="55"/>
  <c r="G8" i="54" s="1"/>
  <c r="F13" i="55"/>
  <c r="F8" i="54" s="1"/>
  <c r="E13" i="55"/>
  <c r="E8" i="54" s="1"/>
  <c r="D13" i="55"/>
  <c r="D8" i="54" s="1"/>
  <c r="C13" i="55"/>
  <c r="C8" i="54" s="1"/>
  <c r="H12" i="55"/>
  <c r="G12" i="55"/>
  <c r="F12" i="55"/>
  <c r="E12" i="55"/>
  <c r="D12" i="55"/>
  <c r="B5" i="13"/>
  <c r="B18" i="6"/>
  <c r="B16" i="6"/>
  <c r="B15" i="6"/>
  <c r="F30" i="7"/>
  <c r="F29" i="7"/>
  <c r="F28" i="7"/>
  <c r="E27" i="7"/>
  <c r="R66" i="53"/>
  <c r="Q66" i="53"/>
  <c r="P66" i="53"/>
  <c r="R65" i="53"/>
  <c r="Q65" i="53"/>
  <c r="P65" i="53"/>
  <c r="R64" i="53"/>
  <c r="Q64" i="53"/>
  <c r="P64" i="53"/>
  <c r="R63" i="53"/>
  <c r="Q63" i="53"/>
  <c r="P63" i="53"/>
  <c r="R62" i="53"/>
  <c r="Q62" i="53"/>
  <c r="P62" i="53"/>
  <c r="R61" i="53"/>
  <c r="Q61" i="53"/>
  <c r="P61" i="53"/>
  <c r="R60" i="53"/>
  <c r="Q60" i="53"/>
  <c r="P60" i="53"/>
  <c r="R59" i="53"/>
  <c r="Q59" i="53"/>
  <c r="P59" i="53"/>
  <c r="R58" i="53"/>
  <c r="Q58" i="53"/>
  <c r="P58" i="53"/>
  <c r="R57" i="53"/>
  <c r="Q57" i="53"/>
  <c r="P57" i="53"/>
  <c r="R56" i="53"/>
  <c r="Q56" i="53"/>
  <c r="P56" i="53"/>
  <c r="R55" i="53"/>
  <c r="Q55" i="53"/>
  <c r="P55" i="53"/>
  <c r="R54" i="53"/>
  <c r="Q54" i="53"/>
  <c r="P54" i="53"/>
  <c r="R53" i="53"/>
  <c r="Q53" i="53"/>
  <c r="P53" i="53"/>
  <c r="R52" i="53"/>
  <c r="Q52" i="53"/>
  <c r="P52" i="53"/>
  <c r="R51" i="53"/>
  <c r="Q51" i="53"/>
  <c r="P51" i="53"/>
  <c r="R50" i="53"/>
  <c r="Q50" i="53"/>
  <c r="P50" i="53"/>
  <c r="R49" i="53"/>
  <c r="Q49" i="53"/>
  <c r="P49" i="53"/>
  <c r="R48" i="53"/>
  <c r="Q48" i="53"/>
  <c r="P48" i="53"/>
  <c r="R47" i="53"/>
  <c r="Q47" i="53"/>
  <c r="P47" i="53"/>
  <c r="R46" i="53"/>
  <c r="Q46" i="53"/>
  <c r="P46" i="53"/>
  <c r="R45" i="53"/>
  <c r="Q45" i="53"/>
  <c r="P45" i="53"/>
  <c r="R44" i="53"/>
  <c r="Q44" i="53"/>
  <c r="P44" i="53"/>
  <c r="R43" i="53"/>
  <c r="Q43" i="53"/>
  <c r="P43" i="53"/>
  <c r="R42" i="53"/>
  <c r="Q42" i="53"/>
  <c r="P42" i="53"/>
  <c r="R41" i="53"/>
  <c r="Q41" i="53"/>
  <c r="P41" i="53"/>
  <c r="R40" i="53"/>
  <c r="Q40" i="53"/>
  <c r="P40" i="53"/>
  <c r="R39" i="53"/>
  <c r="Q39" i="53"/>
  <c r="P39" i="53"/>
  <c r="R38" i="53"/>
  <c r="Q38" i="53"/>
  <c r="P38" i="53"/>
  <c r="R37" i="53"/>
  <c r="Q37" i="53"/>
  <c r="P37" i="53"/>
  <c r="R36" i="53"/>
  <c r="Q36" i="53"/>
  <c r="P36" i="53"/>
  <c r="R35" i="53"/>
  <c r="Q35" i="53"/>
  <c r="P35" i="53"/>
  <c r="R34" i="53"/>
  <c r="Q34" i="53"/>
  <c r="P34" i="53"/>
  <c r="R33" i="53"/>
  <c r="Q33" i="53"/>
  <c r="P33" i="53"/>
  <c r="R32" i="53"/>
  <c r="Q32" i="53"/>
  <c r="P32" i="53"/>
  <c r="R31" i="53"/>
  <c r="Q31" i="53"/>
  <c r="P31" i="53"/>
  <c r="R30" i="53"/>
  <c r="Q30" i="53"/>
  <c r="P30" i="53"/>
  <c r="R29" i="53"/>
  <c r="Q29" i="53"/>
  <c r="P29" i="53"/>
  <c r="R28" i="53"/>
  <c r="Q28" i="53"/>
  <c r="P28" i="53"/>
  <c r="R27" i="53"/>
  <c r="Q27" i="53"/>
  <c r="P27" i="53"/>
  <c r="R26" i="53"/>
  <c r="Q26" i="53"/>
  <c r="P26" i="53"/>
  <c r="R25" i="53"/>
  <c r="Q25" i="53"/>
  <c r="P25" i="53"/>
  <c r="R24" i="53"/>
  <c r="Q24" i="53"/>
  <c r="P24" i="53"/>
  <c r="R23" i="53"/>
  <c r="Q23" i="53"/>
  <c r="P23" i="53"/>
  <c r="R22" i="53"/>
  <c r="Q22" i="53"/>
  <c r="P22" i="53"/>
  <c r="R21" i="53"/>
  <c r="Q21" i="53"/>
  <c r="P21" i="53"/>
  <c r="R20" i="53"/>
  <c r="Q20" i="53"/>
  <c r="P20" i="53"/>
  <c r="R19" i="53"/>
  <c r="Q19" i="53"/>
  <c r="P19" i="53"/>
  <c r="R18" i="53"/>
  <c r="Q18" i="53"/>
  <c r="P18" i="53"/>
  <c r="R17" i="53"/>
  <c r="Q17" i="53"/>
  <c r="P17" i="53"/>
  <c r="R16" i="53"/>
  <c r="Q16" i="53"/>
  <c r="P16" i="53"/>
  <c r="R15" i="53"/>
  <c r="Q15" i="53"/>
  <c r="P15" i="53"/>
  <c r="R14" i="53"/>
  <c r="Q14" i="53"/>
  <c r="P14" i="53"/>
  <c r="R13" i="53"/>
  <c r="Q13" i="53"/>
  <c r="P13" i="53"/>
  <c r="R12" i="53"/>
  <c r="Q12" i="53"/>
  <c r="P12" i="53"/>
  <c r="R11" i="53"/>
  <c r="Q11" i="53"/>
  <c r="P11" i="53"/>
  <c r="R10" i="53"/>
  <c r="Q10" i="53"/>
  <c r="P10" i="53"/>
  <c r="Q9" i="53"/>
  <c r="P9" i="53"/>
  <c r="R8" i="53"/>
  <c r="Q8" i="53"/>
  <c r="R7" i="53"/>
  <c r="Q7" i="53"/>
  <c r="P7" i="53"/>
  <c r="R6" i="53"/>
  <c r="Q6" i="53"/>
  <c r="P6" i="53"/>
  <c r="R5" i="53"/>
  <c r="Q5" i="53"/>
  <c r="P5" i="53"/>
  <c r="H66" i="53"/>
  <c r="G66" i="53"/>
  <c r="F66" i="53"/>
  <c r="K66" i="53" s="1"/>
  <c r="H65" i="53"/>
  <c r="G65" i="53"/>
  <c r="L65" i="53" s="1"/>
  <c r="F65" i="53"/>
  <c r="K65" i="53" s="1"/>
  <c r="C26" i="33" s="1"/>
  <c r="H64" i="53"/>
  <c r="G64" i="53"/>
  <c r="F64" i="53"/>
  <c r="K64" i="53" s="1"/>
  <c r="C5" i="33" s="1"/>
  <c r="H63" i="53"/>
  <c r="G63" i="53"/>
  <c r="L63" i="53" s="1"/>
  <c r="F63" i="53"/>
  <c r="K63" i="53" s="1"/>
  <c r="H62" i="53"/>
  <c r="G62" i="53"/>
  <c r="F62" i="53"/>
  <c r="K62" i="53" s="1"/>
  <c r="C39" i="33" s="1"/>
  <c r="H61" i="53"/>
  <c r="G61" i="53"/>
  <c r="L61" i="53" s="1"/>
  <c r="F61" i="53"/>
  <c r="K61" i="53" s="1"/>
  <c r="C45" i="33" s="1"/>
  <c r="H60" i="53"/>
  <c r="G60" i="53"/>
  <c r="L60" i="53" s="1"/>
  <c r="F60" i="53"/>
  <c r="H59" i="53"/>
  <c r="G59" i="53"/>
  <c r="L59" i="53" s="1"/>
  <c r="F59" i="53"/>
  <c r="K59" i="53" s="1"/>
  <c r="H58" i="53"/>
  <c r="G58" i="53"/>
  <c r="L58" i="53" s="1"/>
  <c r="F58" i="53"/>
  <c r="K58" i="53" s="1"/>
  <c r="C14" i="33" s="1"/>
  <c r="H57" i="53"/>
  <c r="G57" i="53"/>
  <c r="F57" i="53"/>
  <c r="K57" i="53" s="1"/>
  <c r="C25" i="33" s="1"/>
  <c r="H56" i="53"/>
  <c r="G56" i="53"/>
  <c r="L56" i="53" s="1"/>
  <c r="F56" i="53"/>
  <c r="H55" i="53"/>
  <c r="G55" i="53"/>
  <c r="F55" i="53"/>
  <c r="K55" i="53" s="1"/>
  <c r="C6" i="33" s="1"/>
  <c r="H54" i="53"/>
  <c r="G54" i="53"/>
  <c r="F54" i="53"/>
  <c r="K54" i="53" s="1"/>
  <c r="C11" i="33" s="1"/>
  <c r="H53" i="53"/>
  <c r="G53" i="53"/>
  <c r="F53" i="53"/>
  <c r="K53" i="53" s="1"/>
  <c r="C15" i="33" s="1"/>
  <c r="H52" i="53"/>
  <c r="G52" i="53"/>
  <c r="L52" i="53" s="1"/>
  <c r="F52" i="53"/>
  <c r="K52" i="53" s="1"/>
  <c r="C36" i="33" s="1"/>
  <c r="H51" i="53"/>
  <c r="G51" i="53"/>
  <c r="L51" i="53" s="1"/>
  <c r="F51" i="53"/>
  <c r="K51" i="53" s="1"/>
  <c r="C22" i="33" s="1"/>
  <c r="H50" i="53"/>
  <c r="G50" i="53"/>
  <c r="F50" i="53"/>
  <c r="K50" i="53" s="1"/>
  <c r="H49" i="53"/>
  <c r="G49" i="53"/>
  <c r="L49" i="53" s="1"/>
  <c r="F49" i="53"/>
  <c r="K49" i="53" s="1"/>
  <c r="C37" i="33" s="1"/>
  <c r="H48" i="53"/>
  <c r="G48" i="53"/>
  <c r="F48" i="53"/>
  <c r="K48" i="53" s="1"/>
  <c r="C31" i="33" s="1"/>
  <c r="H47" i="53"/>
  <c r="G47" i="53"/>
  <c r="F47" i="53"/>
  <c r="K47" i="53" s="1"/>
  <c r="C28" i="33" s="1"/>
  <c r="H46" i="53"/>
  <c r="G46" i="53"/>
  <c r="L46" i="53" s="1"/>
  <c r="F46" i="53"/>
  <c r="K46" i="53" s="1"/>
  <c r="C34" i="33" s="1"/>
  <c r="H45" i="53"/>
  <c r="G45" i="53"/>
  <c r="L45" i="53" s="1"/>
  <c r="F45" i="53"/>
  <c r="K45" i="53" s="1"/>
  <c r="H44" i="53"/>
  <c r="G44" i="53"/>
  <c r="L44" i="53" s="1"/>
  <c r="F44" i="53"/>
  <c r="K44" i="53" s="1"/>
  <c r="C18" i="33" s="1"/>
  <c r="H43" i="53"/>
  <c r="G43" i="53"/>
  <c r="L43" i="53" s="1"/>
  <c r="F43" i="53"/>
  <c r="K43" i="53" s="1"/>
  <c r="C23" i="33" s="1"/>
  <c r="H42" i="53"/>
  <c r="G42" i="53"/>
  <c r="F42" i="53"/>
  <c r="K42" i="53" s="1"/>
  <c r="C24" i="33" s="1"/>
  <c r="H41" i="53"/>
  <c r="G41" i="53"/>
  <c r="F41" i="53"/>
  <c r="K41" i="53" s="1"/>
  <c r="C30" i="33" s="1"/>
  <c r="H40" i="53"/>
  <c r="G40" i="53"/>
  <c r="L40" i="53" s="1"/>
  <c r="F40" i="53"/>
  <c r="K40" i="53" s="1"/>
  <c r="H39" i="53"/>
  <c r="G39" i="53"/>
  <c r="F39" i="53"/>
  <c r="K39" i="53" s="1"/>
  <c r="C42" i="33" s="1"/>
  <c r="H38" i="53"/>
  <c r="G38" i="53"/>
  <c r="F38" i="53"/>
  <c r="K38" i="53" s="1"/>
  <c r="C29" i="33" s="1"/>
  <c r="H37" i="53"/>
  <c r="G37" i="53"/>
  <c r="F37" i="53"/>
  <c r="K37" i="53" s="1"/>
  <c r="C8" i="33" s="1"/>
  <c r="H36" i="53"/>
  <c r="G36" i="53"/>
  <c r="F36" i="53"/>
  <c r="K36" i="53" s="1"/>
  <c r="C20" i="33" s="1"/>
  <c r="H35" i="53"/>
  <c r="G35" i="53"/>
  <c r="L35" i="53" s="1"/>
  <c r="F35" i="53"/>
  <c r="K35" i="53" s="1"/>
  <c r="C49" i="33" s="1"/>
  <c r="H34" i="53"/>
  <c r="G34" i="53"/>
  <c r="L34" i="53" s="1"/>
  <c r="F34" i="53"/>
  <c r="K34" i="53" s="1"/>
  <c r="C27" i="33" s="1"/>
  <c r="H33" i="53"/>
  <c r="G33" i="53"/>
  <c r="F33" i="53"/>
  <c r="K33" i="53" s="1"/>
  <c r="C35" i="33" s="1"/>
  <c r="H32" i="53"/>
  <c r="G32" i="53"/>
  <c r="F32" i="53"/>
  <c r="K32" i="53" s="1"/>
  <c r="C53" i="33" s="1"/>
  <c r="H31" i="53"/>
  <c r="G31" i="53"/>
  <c r="F31" i="53"/>
  <c r="K31" i="53" s="1"/>
  <c r="C41" i="33" s="1"/>
  <c r="H30" i="53"/>
  <c r="G30" i="53"/>
  <c r="L30" i="53" s="1"/>
  <c r="F30" i="53"/>
  <c r="H29" i="53"/>
  <c r="G29" i="53"/>
  <c r="F29" i="53"/>
  <c r="K29" i="53" s="1"/>
  <c r="C13" i="33" s="1"/>
  <c r="H28" i="53"/>
  <c r="G28" i="53"/>
  <c r="L28" i="53" s="1"/>
  <c r="F28" i="53"/>
  <c r="H27" i="53"/>
  <c r="G27" i="53"/>
  <c r="L27" i="53" s="1"/>
  <c r="F27" i="53"/>
  <c r="K27" i="53" s="1"/>
  <c r="C10" i="33" s="1"/>
  <c r="H26" i="53"/>
  <c r="G26" i="53"/>
  <c r="L26" i="53" s="1"/>
  <c r="F26" i="53"/>
  <c r="K26" i="53" s="1"/>
  <c r="C21" i="33" s="1"/>
  <c r="H25" i="53"/>
  <c r="G25" i="53"/>
  <c r="F25" i="53"/>
  <c r="K25" i="53" s="1"/>
  <c r="C19" i="33" s="1"/>
  <c r="H24" i="53"/>
  <c r="G24" i="53"/>
  <c r="L24" i="53" s="1"/>
  <c r="F24" i="53"/>
  <c r="H23" i="53"/>
  <c r="G23" i="53"/>
  <c r="F23" i="53"/>
  <c r="K23" i="53" s="1"/>
  <c r="C7" i="33" s="1"/>
  <c r="H22" i="53"/>
  <c r="G22" i="53"/>
  <c r="F22" i="53"/>
  <c r="K22" i="53" s="1"/>
  <c r="H21" i="53"/>
  <c r="G21" i="53"/>
  <c r="F21" i="53"/>
  <c r="K21" i="53" s="1"/>
  <c r="C33" i="33" s="1"/>
  <c r="H20" i="53"/>
  <c r="G20" i="53"/>
  <c r="F20" i="53"/>
  <c r="K20" i="53" s="1"/>
  <c r="C43" i="33" s="1"/>
  <c r="H19" i="53"/>
  <c r="G19" i="53"/>
  <c r="F19" i="53"/>
  <c r="K19" i="53" s="1"/>
  <c r="C32" i="33" s="1"/>
  <c r="H18" i="53"/>
  <c r="G18" i="53"/>
  <c r="F18" i="53"/>
  <c r="K18" i="53" s="1"/>
  <c r="C38" i="33" s="1"/>
  <c r="H17" i="53"/>
  <c r="G17" i="53"/>
  <c r="F17" i="53"/>
  <c r="K17" i="53" s="1"/>
  <c r="C44" i="33" s="1"/>
  <c r="H16" i="53"/>
  <c r="G16" i="53"/>
  <c r="F16" i="53"/>
  <c r="K16" i="53" s="1"/>
  <c r="H15" i="53"/>
  <c r="G15" i="53"/>
  <c r="F15" i="53"/>
  <c r="K15" i="53" s="1"/>
  <c r="C46" i="33" s="1"/>
  <c r="H14" i="53"/>
  <c r="G14" i="53"/>
  <c r="L14" i="53" s="1"/>
  <c r="F14" i="53"/>
  <c r="K14" i="53" s="1"/>
  <c r="C52" i="33" s="1"/>
  <c r="H13" i="53"/>
  <c r="G13" i="53"/>
  <c r="L13" i="53" s="1"/>
  <c r="F13" i="53"/>
  <c r="K13" i="53" s="1"/>
  <c r="C50" i="33" s="1"/>
  <c r="H12" i="53"/>
  <c r="G12" i="53"/>
  <c r="F12" i="53"/>
  <c r="K12" i="53" s="1"/>
  <c r="H11" i="53"/>
  <c r="G11" i="53"/>
  <c r="L11" i="53" s="1"/>
  <c r="F11" i="53"/>
  <c r="K11" i="53" s="1"/>
  <c r="C40" i="33" s="1"/>
  <c r="H10" i="53"/>
  <c r="G10" i="53"/>
  <c r="F10" i="53"/>
  <c r="K10" i="53" s="1"/>
  <c r="C47" i="33" s="1"/>
  <c r="H9" i="53"/>
  <c r="G9" i="53"/>
  <c r="F9" i="53"/>
  <c r="K9" i="53" s="1"/>
  <c r="C17" i="33" s="1"/>
  <c r="H8" i="53"/>
  <c r="G8" i="53"/>
  <c r="F8" i="53"/>
  <c r="K8" i="53" s="1"/>
  <c r="C51" i="33" s="1"/>
  <c r="H7" i="53"/>
  <c r="G7" i="53"/>
  <c r="F7" i="53"/>
  <c r="K7" i="53" s="1"/>
  <c r="C54" i="33" s="1"/>
  <c r="H6" i="53"/>
  <c r="G6" i="53"/>
  <c r="L6" i="53" s="1"/>
  <c r="F6" i="53"/>
  <c r="H5" i="53"/>
  <c r="G5" i="53"/>
  <c r="F5" i="53"/>
  <c r="K5" i="53" s="1"/>
  <c r="D5" i="23"/>
  <c r="D6" i="23"/>
  <c r="D7" i="23"/>
  <c r="D8" i="23"/>
  <c r="D9" i="23"/>
  <c r="D10" i="23"/>
  <c r="D11" i="23"/>
  <c r="D12" i="23"/>
  <c r="D13" i="23"/>
  <c r="D14" i="23"/>
  <c r="D15" i="23"/>
  <c r="D16" i="23"/>
  <c r="D17" i="23"/>
  <c r="D18" i="23"/>
  <c r="D19" i="23"/>
  <c r="D20" i="23"/>
  <c r="D21" i="23"/>
  <c r="D22" i="23"/>
  <c r="D23" i="23"/>
  <c r="D24" i="23"/>
  <c r="D25" i="23"/>
  <c r="D26" i="23"/>
  <c r="D27" i="23"/>
  <c r="D28" i="23"/>
  <c r="D29" i="23"/>
  <c r="D30" i="23"/>
  <c r="D31" i="23"/>
  <c r="D32" i="23"/>
  <c r="D33" i="23"/>
  <c r="D34" i="23"/>
  <c r="D35" i="23"/>
  <c r="D36" i="23"/>
  <c r="D37" i="23"/>
  <c r="D38" i="23"/>
  <c r="D39" i="23"/>
  <c r="D40" i="23"/>
  <c r="D41" i="23"/>
  <c r="D42" i="23"/>
  <c r="D43" i="23"/>
  <c r="D44" i="23"/>
  <c r="D45" i="23"/>
  <c r="D46" i="23"/>
  <c r="D47" i="23"/>
  <c r="D48" i="23"/>
  <c r="D49" i="23"/>
  <c r="D50" i="23"/>
  <c r="D51" i="23"/>
  <c r="D52" i="23"/>
  <c r="D53" i="23"/>
  <c r="D54" i="23"/>
  <c r="D55" i="23"/>
  <c r="D56" i="23"/>
  <c r="D57" i="23"/>
  <c r="D58" i="23"/>
  <c r="D59" i="23"/>
  <c r="D60" i="23"/>
  <c r="D61" i="23"/>
  <c r="D62" i="23"/>
  <c r="D63" i="23"/>
  <c r="D64" i="23"/>
  <c r="D65" i="23"/>
  <c r="D66" i="23"/>
  <c r="D67" i="23"/>
  <c r="D68" i="23"/>
  <c r="D69" i="23"/>
  <c r="D70" i="23"/>
  <c r="D71" i="23"/>
  <c r="D72" i="23"/>
  <c r="D73" i="23"/>
  <c r="D74" i="23"/>
  <c r="D75" i="23"/>
  <c r="D76" i="23"/>
  <c r="D77" i="23"/>
  <c r="D78" i="23"/>
  <c r="D79" i="23"/>
  <c r="D80" i="23"/>
  <c r="D81" i="23"/>
  <c r="D82" i="23"/>
  <c r="D83" i="23"/>
  <c r="D84" i="23"/>
  <c r="D85" i="23"/>
  <c r="D86" i="23"/>
  <c r="D87" i="23"/>
  <c r="D88" i="23"/>
  <c r="D89" i="23"/>
  <c r="D90" i="23"/>
  <c r="D91" i="23"/>
  <c r="D92" i="23"/>
  <c r="D93" i="23"/>
  <c r="D94" i="23"/>
  <c r="D95" i="23"/>
  <c r="D96" i="23"/>
  <c r="D97" i="23"/>
  <c r="D98" i="23"/>
  <c r="D99" i="23"/>
  <c r="D100" i="23"/>
  <c r="D101" i="23"/>
  <c r="D102" i="23"/>
  <c r="D103" i="23"/>
  <c r="D104" i="23"/>
  <c r="D105" i="23"/>
  <c r="D106" i="23"/>
  <c r="D107" i="23"/>
  <c r="D108" i="23"/>
  <c r="D109" i="23"/>
  <c r="D110" i="23"/>
  <c r="D111" i="23"/>
  <c r="D112" i="23"/>
  <c r="D113" i="23"/>
  <c r="D114" i="23"/>
  <c r="D115" i="23"/>
  <c r="D116" i="23"/>
  <c r="D117" i="23"/>
  <c r="D118" i="23"/>
  <c r="D119" i="23"/>
  <c r="D120" i="23"/>
  <c r="D121" i="23"/>
  <c r="D122" i="23"/>
  <c r="D123" i="23"/>
  <c r="D124" i="23"/>
  <c r="D125" i="23"/>
  <c r="D126" i="23"/>
  <c r="D127" i="23"/>
  <c r="D128" i="23"/>
  <c r="D129" i="23"/>
  <c r="D130" i="23"/>
  <c r="D131" i="23"/>
  <c r="D132" i="23"/>
  <c r="D133" i="23"/>
  <c r="D134" i="23"/>
  <c r="D135" i="23"/>
  <c r="D136" i="23"/>
  <c r="D137" i="23"/>
  <c r="D138" i="23"/>
  <c r="D139" i="23"/>
  <c r="D140" i="23"/>
  <c r="D141" i="23"/>
  <c r="D142" i="23"/>
  <c r="D143" i="23"/>
  <c r="D144" i="23"/>
  <c r="D145" i="23"/>
  <c r="D146" i="23"/>
  <c r="D147" i="23"/>
  <c r="D148" i="23"/>
  <c r="D149" i="23"/>
  <c r="D150" i="23"/>
  <c r="D151" i="23"/>
  <c r="D152" i="23"/>
  <c r="D153" i="23"/>
  <c r="D154" i="23"/>
  <c r="D155" i="23"/>
  <c r="D156" i="23"/>
  <c r="D157" i="23"/>
  <c r="D158" i="23"/>
  <c r="D159" i="23"/>
  <c r="D160" i="23"/>
  <c r="D161" i="23"/>
  <c r="D162" i="23"/>
  <c r="D163" i="23"/>
  <c r="D164" i="23"/>
  <c r="D165" i="23"/>
  <c r="D166" i="23"/>
  <c r="D167" i="23"/>
  <c r="D168" i="23"/>
  <c r="D169" i="23"/>
  <c r="D170" i="23"/>
  <c r="D171" i="23"/>
  <c r="D172" i="23"/>
  <c r="D173" i="23"/>
  <c r="D174" i="23"/>
  <c r="D175" i="23"/>
  <c r="D176" i="23"/>
  <c r="D177" i="23"/>
  <c r="D178" i="23"/>
  <c r="D179" i="23"/>
  <c r="D180" i="23"/>
  <c r="D181" i="23"/>
  <c r="D182" i="23"/>
  <c r="D183" i="23"/>
  <c r="D184" i="23"/>
  <c r="D185" i="23"/>
  <c r="D186" i="23"/>
  <c r="D187" i="23"/>
  <c r="D188" i="23"/>
  <c r="D189" i="23"/>
  <c r="D190" i="23"/>
  <c r="D191" i="23"/>
  <c r="D192" i="23"/>
  <c r="D193" i="23"/>
  <c r="D194" i="23"/>
  <c r="D195" i="23"/>
  <c r="D196" i="23"/>
  <c r="D197" i="23"/>
  <c r="D198" i="23"/>
  <c r="D199" i="23"/>
  <c r="D200" i="23"/>
  <c r="D201" i="23"/>
  <c r="D202" i="23"/>
  <c r="D203" i="23"/>
  <c r="D204" i="23"/>
  <c r="D205" i="23"/>
  <c r="D206" i="23"/>
  <c r="D207" i="23"/>
  <c r="D208" i="23"/>
  <c r="D209" i="23"/>
  <c r="D210" i="23"/>
  <c r="D211" i="23"/>
  <c r="D212" i="23"/>
  <c r="D213" i="23"/>
  <c r="D214" i="23"/>
  <c r="D215" i="23"/>
  <c r="D216" i="23"/>
  <c r="D217" i="23"/>
  <c r="D218" i="23"/>
  <c r="D219" i="23"/>
  <c r="D220" i="23"/>
  <c r="F5" i="23"/>
  <c r="F6" i="23"/>
  <c r="F7" i="23"/>
  <c r="F8" i="23"/>
  <c r="F9" i="23"/>
  <c r="F10" i="23"/>
  <c r="F11" i="23"/>
  <c r="F12" i="23"/>
  <c r="F13" i="23"/>
  <c r="F14" i="23"/>
  <c r="F15" i="23"/>
  <c r="F16" i="23"/>
  <c r="F17" i="23"/>
  <c r="F18" i="23"/>
  <c r="F19" i="23"/>
  <c r="F20" i="23"/>
  <c r="F21" i="23"/>
  <c r="F22" i="23"/>
  <c r="F23" i="23"/>
  <c r="F24" i="23"/>
  <c r="F25" i="23"/>
  <c r="F26" i="23"/>
  <c r="F27" i="23"/>
  <c r="F28" i="23"/>
  <c r="F29" i="23"/>
  <c r="F30" i="23"/>
  <c r="F31" i="23"/>
  <c r="F32" i="23"/>
  <c r="F33" i="23"/>
  <c r="F34" i="23"/>
  <c r="F35" i="23"/>
  <c r="F36" i="23"/>
  <c r="F37" i="23"/>
  <c r="F38" i="23"/>
  <c r="F39" i="23"/>
  <c r="F40" i="23"/>
  <c r="F41" i="23"/>
  <c r="F42" i="23"/>
  <c r="F43" i="23"/>
  <c r="F44" i="23"/>
  <c r="F45" i="23"/>
  <c r="F46" i="23"/>
  <c r="F47" i="23"/>
  <c r="F48" i="23"/>
  <c r="F49" i="23"/>
  <c r="F50" i="23"/>
  <c r="F51" i="23"/>
  <c r="F52" i="23"/>
  <c r="F53" i="23"/>
  <c r="F54" i="23"/>
  <c r="F55" i="23"/>
  <c r="F56" i="23"/>
  <c r="F57" i="23"/>
  <c r="F58" i="23"/>
  <c r="F59" i="23"/>
  <c r="F60" i="23"/>
  <c r="F61" i="23"/>
  <c r="F62" i="23"/>
  <c r="F63" i="23"/>
  <c r="F64" i="23"/>
  <c r="F65" i="23"/>
  <c r="F66" i="23"/>
  <c r="F67" i="23"/>
  <c r="F68" i="23"/>
  <c r="F69" i="23"/>
  <c r="F70" i="23"/>
  <c r="F71" i="23"/>
  <c r="F72" i="23"/>
  <c r="F73" i="23"/>
  <c r="F74" i="23"/>
  <c r="F75" i="23"/>
  <c r="F76" i="23"/>
  <c r="F77" i="23"/>
  <c r="F78" i="23"/>
  <c r="F79" i="23"/>
  <c r="F80" i="23"/>
  <c r="F81" i="23"/>
  <c r="F82" i="23"/>
  <c r="F83" i="23"/>
  <c r="F84" i="23"/>
  <c r="F85" i="23"/>
  <c r="F86" i="23"/>
  <c r="F87" i="23"/>
  <c r="F88" i="23"/>
  <c r="F89" i="23"/>
  <c r="F90" i="23"/>
  <c r="F91" i="23"/>
  <c r="F92" i="23"/>
  <c r="F93" i="23"/>
  <c r="F94" i="23"/>
  <c r="F95" i="23"/>
  <c r="F96" i="23"/>
  <c r="F97" i="23"/>
  <c r="F98" i="23"/>
  <c r="F99" i="23"/>
  <c r="F100" i="23"/>
  <c r="F101" i="23"/>
  <c r="F102" i="23"/>
  <c r="F103" i="23"/>
  <c r="F104" i="23"/>
  <c r="F105" i="23"/>
  <c r="F106" i="23"/>
  <c r="F107" i="23"/>
  <c r="F108" i="23"/>
  <c r="F109" i="23"/>
  <c r="F110" i="23"/>
  <c r="F111" i="23"/>
  <c r="F112" i="23"/>
  <c r="F113" i="23"/>
  <c r="F114" i="23"/>
  <c r="F115" i="23"/>
  <c r="F116" i="23"/>
  <c r="F117" i="23"/>
  <c r="F118" i="23"/>
  <c r="F119" i="23"/>
  <c r="F120" i="23"/>
  <c r="F121" i="23"/>
  <c r="F122" i="23"/>
  <c r="F123" i="23"/>
  <c r="F124" i="23"/>
  <c r="F125" i="23"/>
  <c r="F126" i="23"/>
  <c r="F127" i="23"/>
  <c r="F128" i="23"/>
  <c r="F129" i="23"/>
  <c r="F130" i="23"/>
  <c r="F131" i="23"/>
  <c r="F132" i="23"/>
  <c r="F133" i="23"/>
  <c r="F134" i="23"/>
  <c r="F135" i="23"/>
  <c r="F136" i="23"/>
  <c r="F137" i="23"/>
  <c r="F138" i="23"/>
  <c r="F139" i="23"/>
  <c r="F140" i="23"/>
  <c r="F141" i="23"/>
  <c r="F142" i="23"/>
  <c r="F143" i="23"/>
  <c r="F144" i="23"/>
  <c r="F145" i="23"/>
  <c r="F146" i="23"/>
  <c r="F147" i="23"/>
  <c r="F148" i="23"/>
  <c r="F149" i="23"/>
  <c r="F150" i="23"/>
  <c r="F151" i="23"/>
  <c r="F152" i="23"/>
  <c r="F153" i="23"/>
  <c r="F154" i="23"/>
  <c r="F155" i="23"/>
  <c r="F156" i="23"/>
  <c r="F157" i="23"/>
  <c r="F158" i="23"/>
  <c r="F159" i="23"/>
  <c r="F160" i="23"/>
  <c r="F161" i="23"/>
  <c r="F162" i="23"/>
  <c r="F163" i="23"/>
  <c r="F164" i="23"/>
  <c r="F165" i="23"/>
  <c r="F166" i="23"/>
  <c r="F167" i="23"/>
  <c r="F168" i="23"/>
  <c r="F169" i="23"/>
  <c r="F170" i="23"/>
  <c r="F171" i="23"/>
  <c r="F172" i="23"/>
  <c r="F173" i="23"/>
  <c r="F174" i="23"/>
  <c r="F175" i="23"/>
  <c r="F176" i="23"/>
  <c r="F177" i="23"/>
  <c r="F178" i="23"/>
  <c r="F179" i="23"/>
  <c r="F180" i="23"/>
  <c r="F181" i="23"/>
  <c r="F182" i="23"/>
  <c r="F183" i="23"/>
  <c r="F184" i="23"/>
  <c r="F185" i="23"/>
  <c r="F186" i="23"/>
  <c r="F187" i="23"/>
  <c r="F188" i="23"/>
  <c r="F189" i="23"/>
  <c r="F190" i="23"/>
  <c r="F191" i="23"/>
  <c r="F192" i="23"/>
  <c r="F193" i="23"/>
  <c r="F194" i="23"/>
  <c r="F195" i="23"/>
  <c r="F196" i="23"/>
  <c r="F197" i="23"/>
  <c r="F198" i="23"/>
  <c r="F199" i="23"/>
  <c r="F200" i="23"/>
  <c r="F201" i="23"/>
  <c r="F202" i="23"/>
  <c r="F203" i="23"/>
  <c r="F204" i="23"/>
  <c r="F205" i="23"/>
  <c r="F206" i="23"/>
  <c r="F207" i="23"/>
  <c r="F208" i="23"/>
  <c r="F209" i="23"/>
  <c r="F210" i="23"/>
  <c r="F211" i="23"/>
  <c r="F212" i="23"/>
  <c r="F213" i="23"/>
  <c r="F214" i="23"/>
  <c r="F215" i="23"/>
  <c r="F216" i="23"/>
  <c r="F217" i="23"/>
  <c r="F218" i="23"/>
  <c r="F219" i="23"/>
  <c r="F220" i="23"/>
  <c r="L87" i="38"/>
  <c r="N87" i="38"/>
  <c r="Q88" i="38"/>
  <c r="G6" i="43"/>
  <c r="G7" i="49"/>
  <c r="F7" i="49"/>
  <c r="O7" i="49"/>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14" i="6"/>
  <c r="B20" i="4"/>
  <c r="Q87" i="38"/>
  <c r="K87" i="38"/>
  <c r="N86" i="38"/>
  <c r="L86" i="38"/>
  <c r="K86" i="38"/>
  <c r="J86" i="38"/>
  <c r="J87" i="38"/>
  <c r="J88" i="38"/>
  <c r="H86" i="38"/>
  <c r="Q86" i="38" s="1"/>
  <c r="B25" i="42"/>
  <c r="B24" i="42"/>
  <c r="B7" i="54"/>
  <c r="B23" i="42"/>
  <c r="P14" i="49"/>
  <c r="P13" i="49"/>
  <c r="P12" i="49"/>
  <c r="P11" i="49"/>
  <c r="P10" i="49"/>
  <c r="P9" i="49"/>
  <c r="P8" i="49"/>
  <c r="P7" i="49"/>
  <c r="Q7" i="49" s="1"/>
  <c r="L10" i="49"/>
  <c r="M10" i="49" s="1"/>
  <c r="L9" i="49"/>
  <c r="M9" i="49" s="1"/>
  <c r="O14" i="49"/>
  <c r="Q14" i="49" s="1"/>
  <c r="O13" i="49"/>
  <c r="Q13" i="49" s="1"/>
  <c r="O12" i="49"/>
  <c r="Q12" i="49" s="1"/>
  <c r="O11" i="49"/>
  <c r="Q11" i="49" s="1"/>
  <c r="O10" i="49"/>
  <c r="Q10" i="49" s="1"/>
  <c r="O9" i="49"/>
  <c r="O8" i="49"/>
  <c r="K10" i="49"/>
  <c r="K7" i="49"/>
  <c r="H14" i="49"/>
  <c r="H13" i="49"/>
  <c r="H12" i="49"/>
  <c r="H11" i="49"/>
  <c r="H10" i="49"/>
  <c r="H9" i="49"/>
  <c r="H8" i="49"/>
  <c r="C14" i="49"/>
  <c r="L14" i="49"/>
  <c r="B14" i="49"/>
  <c r="K14" i="49"/>
  <c r="M14" i="49" s="1"/>
  <c r="C13" i="49"/>
  <c r="L13" i="49" s="1"/>
  <c r="B13" i="49"/>
  <c r="K13" i="49"/>
  <c r="C12" i="49"/>
  <c r="D12" i="49" s="1"/>
  <c r="L12" i="49"/>
  <c r="B12" i="49"/>
  <c r="K12" i="49" s="1"/>
  <c r="C11" i="49"/>
  <c r="L11" i="49"/>
  <c r="B11" i="49"/>
  <c r="D11" i="49" s="1"/>
  <c r="C10" i="49"/>
  <c r="B10" i="49"/>
  <c r="C9" i="49"/>
  <c r="D9" i="49" s="1"/>
  <c r="B9" i="49"/>
  <c r="K9" i="49" s="1"/>
  <c r="C8" i="49"/>
  <c r="L8" i="49" s="1"/>
  <c r="M8" i="49" s="1"/>
  <c r="B8" i="49"/>
  <c r="K8" i="49" s="1"/>
  <c r="C7" i="49"/>
  <c r="L7" i="49" s="1"/>
  <c r="M7" i="49" s="1"/>
  <c r="B7" i="49"/>
  <c r="F10" i="48"/>
  <c r="E10" i="48"/>
  <c r="C10" i="48"/>
  <c r="B10" i="48"/>
  <c r="Q8" i="49"/>
  <c r="Q9" i="49"/>
  <c r="D10" i="49"/>
  <c r="H7" i="49"/>
  <c r="D14" i="49"/>
  <c r="V22" i="46"/>
  <c r="U22" i="46"/>
  <c r="T22" i="46"/>
  <c r="S22" i="46"/>
  <c r="R22" i="46"/>
  <c r="Q22" i="46"/>
  <c r="P22" i="46"/>
  <c r="O22" i="46"/>
  <c r="N22" i="46"/>
  <c r="V21" i="46"/>
  <c r="U21" i="46"/>
  <c r="T21" i="46"/>
  <c r="S21" i="46"/>
  <c r="R21" i="46"/>
  <c r="Q21" i="46"/>
  <c r="P21" i="46"/>
  <c r="O21" i="46"/>
  <c r="N21" i="46"/>
  <c r="V20" i="46"/>
  <c r="U20" i="46"/>
  <c r="T20" i="46"/>
  <c r="S20" i="46"/>
  <c r="R20" i="46"/>
  <c r="Q20" i="46"/>
  <c r="P20" i="46"/>
  <c r="O20" i="46"/>
  <c r="N20" i="46"/>
  <c r="V19" i="46"/>
  <c r="U19" i="46"/>
  <c r="T19" i="46"/>
  <c r="S19" i="46"/>
  <c r="R19" i="46"/>
  <c r="Q19" i="46"/>
  <c r="P19" i="46"/>
  <c r="O19" i="46"/>
  <c r="N19" i="46"/>
  <c r="V18" i="46"/>
  <c r="U18" i="46"/>
  <c r="T18" i="46"/>
  <c r="S18" i="46"/>
  <c r="R18" i="46"/>
  <c r="Q18" i="46"/>
  <c r="P18" i="46"/>
  <c r="O18" i="46"/>
  <c r="N18" i="46"/>
  <c r="V17" i="46"/>
  <c r="U17" i="46"/>
  <c r="T17" i="46"/>
  <c r="S17" i="46"/>
  <c r="R17" i="46"/>
  <c r="Q17" i="46"/>
  <c r="P17" i="46"/>
  <c r="O17" i="46"/>
  <c r="N17" i="46"/>
  <c r="V16" i="46"/>
  <c r="U16" i="46"/>
  <c r="T16" i="46"/>
  <c r="S16" i="46"/>
  <c r="R16" i="46"/>
  <c r="Q16" i="46"/>
  <c r="P16" i="46"/>
  <c r="O16" i="46"/>
  <c r="N16" i="46"/>
  <c r="V15" i="46"/>
  <c r="U15" i="46"/>
  <c r="T15" i="46"/>
  <c r="S15" i="46"/>
  <c r="R15" i="46"/>
  <c r="Q15" i="46"/>
  <c r="P15" i="46"/>
  <c r="O15" i="46"/>
  <c r="N15" i="46"/>
  <c r="V14" i="46"/>
  <c r="U14" i="46"/>
  <c r="T14" i="46"/>
  <c r="S14" i="46"/>
  <c r="R14" i="46"/>
  <c r="Q14" i="46"/>
  <c r="P14" i="46"/>
  <c r="O14" i="46"/>
  <c r="N14" i="46"/>
  <c r="V13" i="46"/>
  <c r="U13" i="46"/>
  <c r="T13" i="46"/>
  <c r="S13" i="46"/>
  <c r="R13" i="46"/>
  <c r="Q13" i="46"/>
  <c r="P13" i="46"/>
  <c r="O13" i="46"/>
  <c r="N13" i="46"/>
  <c r="V12" i="46"/>
  <c r="U12" i="46"/>
  <c r="T12" i="46"/>
  <c r="S12" i="46"/>
  <c r="R12" i="46"/>
  <c r="Q12" i="46"/>
  <c r="P12" i="46"/>
  <c r="O12" i="46"/>
  <c r="N12" i="46"/>
  <c r="V11" i="46"/>
  <c r="U11" i="46"/>
  <c r="T11" i="46"/>
  <c r="S11" i="46"/>
  <c r="R11" i="46"/>
  <c r="Q11" i="46"/>
  <c r="P11" i="46"/>
  <c r="O11" i="46"/>
  <c r="N11" i="46"/>
  <c r="V10" i="46"/>
  <c r="U10" i="46"/>
  <c r="T10" i="46"/>
  <c r="S10" i="46"/>
  <c r="R10" i="46"/>
  <c r="Q10" i="46"/>
  <c r="P10" i="46"/>
  <c r="O10" i="46"/>
  <c r="N10" i="46"/>
  <c r="V9" i="46"/>
  <c r="U9" i="46"/>
  <c r="T9" i="46"/>
  <c r="S9" i="46"/>
  <c r="R9" i="46"/>
  <c r="Q9" i="46"/>
  <c r="P9" i="46"/>
  <c r="O9" i="46"/>
  <c r="N9" i="46"/>
  <c r="V8" i="46"/>
  <c r="U8" i="46"/>
  <c r="T8" i="46"/>
  <c r="S8" i="46"/>
  <c r="R8" i="46"/>
  <c r="Q8" i="46"/>
  <c r="P8" i="46"/>
  <c r="O8" i="46"/>
  <c r="N8" i="46"/>
  <c r="V7" i="46"/>
  <c r="U7" i="46"/>
  <c r="T7" i="46"/>
  <c r="S7" i="46"/>
  <c r="R7" i="46"/>
  <c r="Q7" i="46"/>
  <c r="P7" i="46"/>
  <c r="O7" i="46"/>
  <c r="N7" i="46"/>
  <c r="C14" i="43"/>
  <c r="D14" i="43"/>
  <c r="C15" i="43"/>
  <c r="D15" i="43"/>
  <c r="I12" i="43"/>
  <c r="H12" i="43"/>
  <c r="H23" i="42"/>
  <c r="G23" i="42"/>
  <c r="F23" i="42"/>
  <c r="E23" i="42"/>
  <c r="D23" i="42"/>
  <c r="C23" i="42"/>
  <c r="K6" i="42"/>
  <c r="K23" i="42" s="1"/>
  <c r="L6" i="42"/>
  <c r="M6" i="42"/>
  <c r="N6" i="42"/>
  <c r="N23" i="42" s="1"/>
  <c r="O6" i="42"/>
  <c r="P6" i="42"/>
  <c r="P23" i="42" s="1"/>
  <c r="Q6" i="42"/>
  <c r="K7" i="42"/>
  <c r="L7" i="42"/>
  <c r="M7" i="42"/>
  <c r="N7" i="42"/>
  <c r="O7" i="42"/>
  <c r="P7" i="42"/>
  <c r="Q7" i="42"/>
  <c r="K8" i="42"/>
  <c r="L8" i="42"/>
  <c r="M8" i="42"/>
  <c r="N8" i="42"/>
  <c r="O8" i="42"/>
  <c r="P8" i="42"/>
  <c r="Q8" i="42"/>
  <c r="K9" i="42"/>
  <c r="L9" i="42"/>
  <c r="M9" i="42"/>
  <c r="N9" i="42"/>
  <c r="O9" i="42"/>
  <c r="P9" i="42"/>
  <c r="Q9" i="42"/>
  <c r="K10" i="42"/>
  <c r="L10" i="42"/>
  <c r="M10" i="42"/>
  <c r="N10" i="42"/>
  <c r="O10" i="42"/>
  <c r="P10" i="42"/>
  <c r="Q10" i="42"/>
  <c r="K11" i="42"/>
  <c r="L11" i="42"/>
  <c r="M11" i="42"/>
  <c r="N11" i="42"/>
  <c r="O11" i="42"/>
  <c r="P11" i="42"/>
  <c r="Q11" i="42"/>
  <c r="K12" i="42"/>
  <c r="L12" i="42"/>
  <c r="M12" i="42"/>
  <c r="N12" i="42"/>
  <c r="O12" i="42"/>
  <c r="P12" i="42"/>
  <c r="Q12" i="42"/>
  <c r="K13" i="42"/>
  <c r="L13" i="42"/>
  <c r="M13" i="42"/>
  <c r="N13" i="42"/>
  <c r="O13" i="42"/>
  <c r="P13" i="42"/>
  <c r="Q13" i="42"/>
  <c r="K14" i="42"/>
  <c r="L14" i="42"/>
  <c r="M14" i="42"/>
  <c r="N14" i="42"/>
  <c r="O14" i="42"/>
  <c r="P14" i="42"/>
  <c r="Q14" i="42"/>
  <c r="B15" i="43"/>
  <c r="B14" i="43"/>
  <c r="G12" i="43"/>
  <c r="I11" i="43"/>
  <c r="I15" i="43" s="1"/>
  <c r="H11" i="43"/>
  <c r="G11" i="43"/>
  <c r="G15" i="43" s="1"/>
  <c r="I10" i="43"/>
  <c r="H10" i="43"/>
  <c r="G10" i="43"/>
  <c r="I9" i="43"/>
  <c r="H9" i="43"/>
  <c r="G9" i="43"/>
  <c r="I8" i="43"/>
  <c r="H8" i="43"/>
  <c r="G8" i="43"/>
  <c r="I7" i="43"/>
  <c r="H7" i="43"/>
  <c r="G7" i="43"/>
  <c r="I6" i="43"/>
  <c r="I14" i="43" s="1"/>
  <c r="H6" i="43"/>
  <c r="M6" i="41"/>
  <c r="M7" i="41"/>
  <c r="M8" i="41"/>
  <c r="M9" i="41"/>
  <c r="M10" i="41"/>
  <c r="M11" i="41"/>
  <c r="M12" i="41"/>
  <c r="L12" i="41"/>
  <c r="L11" i="41"/>
  <c r="L10" i="41"/>
  <c r="L9" i="41"/>
  <c r="L8" i="41"/>
  <c r="L7" i="41"/>
  <c r="L6" i="41"/>
  <c r="K6" i="41"/>
  <c r="K7" i="41"/>
  <c r="K8" i="41"/>
  <c r="K9" i="41"/>
  <c r="K10" i="41"/>
  <c r="K11" i="41"/>
  <c r="J12" i="41"/>
  <c r="J11" i="41"/>
  <c r="J10" i="41"/>
  <c r="J9" i="41"/>
  <c r="J8" i="41"/>
  <c r="J7" i="41"/>
  <c r="J6" i="41"/>
  <c r="I12" i="41"/>
  <c r="I11" i="41"/>
  <c r="I10" i="41"/>
  <c r="I9" i="41"/>
  <c r="I8" i="41"/>
  <c r="I7" i="41"/>
  <c r="I6" i="41"/>
  <c r="Q21" i="42"/>
  <c r="Q23" i="42" s="1"/>
  <c r="P21" i="42"/>
  <c r="O21" i="42"/>
  <c r="N21" i="42"/>
  <c r="M21" i="42"/>
  <c r="M25" i="42" s="1"/>
  <c r="M23" i="42"/>
  <c r="L21" i="42"/>
  <c r="L23" i="42" s="1"/>
  <c r="K21" i="42"/>
  <c r="Q20" i="42"/>
  <c r="P20" i="42"/>
  <c r="O20" i="42"/>
  <c r="N20" i="42"/>
  <c r="N25" i="42" s="1"/>
  <c r="M20" i="42"/>
  <c r="L20" i="42"/>
  <c r="L25" i="42" s="1"/>
  <c r="K20" i="42"/>
  <c r="K25" i="42" s="1"/>
  <c r="Q19" i="42"/>
  <c r="P19" i="42"/>
  <c r="O19" i="42"/>
  <c r="N19" i="42"/>
  <c r="M19" i="42"/>
  <c r="L19" i="42"/>
  <c r="K19" i="42"/>
  <c r="Q18" i="42"/>
  <c r="P18" i="42"/>
  <c r="O18" i="42"/>
  <c r="N18" i="42"/>
  <c r="M18" i="42"/>
  <c r="L18" i="42"/>
  <c r="K18" i="42"/>
  <c r="Q17" i="42"/>
  <c r="P17" i="42"/>
  <c r="O17" i="42"/>
  <c r="N17" i="42"/>
  <c r="M17" i="42"/>
  <c r="L17" i="42"/>
  <c r="K17" i="42"/>
  <c r="Q16" i="42"/>
  <c r="P16" i="42"/>
  <c r="O16" i="42"/>
  <c r="N16" i="42"/>
  <c r="M16" i="42"/>
  <c r="L16" i="42"/>
  <c r="K16" i="42"/>
  <c r="Q15" i="42"/>
  <c r="Q24" i="42" s="1"/>
  <c r="Q7" i="54" s="1"/>
  <c r="P15" i="42"/>
  <c r="O15" i="42"/>
  <c r="N15" i="42"/>
  <c r="M15" i="42"/>
  <c r="L15" i="42"/>
  <c r="K15" i="42"/>
  <c r="C12" i="26"/>
  <c r="C11" i="26"/>
  <c r="C10" i="26"/>
  <c r="C9" i="26"/>
  <c r="C8" i="26"/>
  <c r="C7" i="26"/>
  <c r="C6" i="26"/>
  <c r="C5" i="26"/>
  <c r="G22" i="39"/>
  <c r="G20" i="39"/>
  <c r="G19" i="39"/>
  <c r="G18" i="39"/>
  <c r="G17" i="39"/>
  <c r="G16" i="39"/>
  <c r="G15" i="39"/>
  <c r="G14" i="39"/>
  <c r="G13" i="39"/>
  <c r="G12" i="39"/>
  <c r="G11" i="39"/>
  <c r="G10" i="39"/>
  <c r="G9" i="39"/>
  <c r="G8" i="39"/>
  <c r="G7" i="39"/>
  <c r="G6" i="39"/>
  <c r="G5" i="39"/>
  <c r="F22" i="39"/>
  <c r="F20" i="39"/>
  <c r="F19" i="39"/>
  <c r="F18" i="39"/>
  <c r="F17" i="39"/>
  <c r="F16" i="39"/>
  <c r="F15" i="39"/>
  <c r="F14" i="39"/>
  <c r="F13" i="39"/>
  <c r="F12" i="39"/>
  <c r="F11" i="39"/>
  <c r="F10" i="39"/>
  <c r="F9" i="39"/>
  <c r="F8" i="39"/>
  <c r="F7" i="39"/>
  <c r="F6" i="39"/>
  <c r="F5" i="39"/>
  <c r="H25" i="42"/>
  <c r="G25" i="42"/>
  <c r="F25" i="42"/>
  <c r="E25" i="42"/>
  <c r="D25" i="42"/>
  <c r="C25" i="42"/>
  <c r="H24" i="42"/>
  <c r="H7" i="54"/>
  <c r="G24" i="42"/>
  <c r="G7" i="54"/>
  <c r="F24" i="42"/>
  <c r="F7" i="54"/>
  <c r="E24" i="42"/>
  <c r="E7" i="54"/>
  <c r="D24" i="42"/>
  <c r="D7" i="54"/>
  <c r="C24" i="42"/>
  <c r="C7" i="54"/>
  <c r="E20" i="40"/>
  <c r="E5" i="40"/>
  <c r="E19" i="40"/>
  <c r="E18" i="40"/>
  <c r="E17" i="40"/>
  <c r="E16" i="40"/>
  <c r="E15" i="40"/>
  <c r="E14" i="40"/>
  <c r="E13" i="40"/>
  <c r="E12" i="40"/>
  <c r="E11" i="40"/>
  <c r="E10" i="40"/>
  <c r="E9" i="40"/>
  <c r="E8" i="40"/>
  <c r="E7" i="40"/>
  <c r="E6" i="40"/>
  <c r="C14" i="26"/>
  <c r="C13" i="26"/>
  <c r="G21" i="39"/>
  <c r="F21" i="39"/>
  <c r="Q25" i="42"/>
  <c r="K24" i="42"/>
  <c r="K7" i="54"/>
  <c r="N24" i="42"/>
  <c r="N7" i="54" s="1"/>
  <c r="O25" i="42"/>
  <c r="Q85" i="38"/>
  <c r="N85" i="38"/>
  <c r="L85" i="38"/>
  <c r="K85" i="38"/>
  <c r="Q84" i="38"/>
  <c r="N84" i="38"/>
  <c r="L84" i="38"/>
  <c r="K84" i="38"/>
  <c r="Q83" i="38"/>
  <c r="N83" i="38"/>
  <c r="L83" i="38"/>
  <c r="K83" i="38"/>
  <c r="Q82" i="38"/>
  <c r="N82" i="38"/>
  <c r="L82" i="38"/>
  <c r="K82" i="38"/>
  <c r="Q81" i="38"/>
  <c r="N81" i="38"/>
  <c r="L81" i="38"/>
  <c r="K81" i="38"/>
  <c r="Q80" i="38"/>
  <c r="N80" i="38"/>
  <c r="L80" i="38"/>
  <c r="K80" i="38"/>
  <c r="Q79" i="38"/>
  <c r="N79" i="38"/>
  <c r="L79" i="38"/>
  <c r="K79" i="38"/>
  <c r="Q78" i="38"/>
  <c r="N78" i="38"/>
  <c r="L78" i="38"/>
  <c r="K78" i="38"/>
  <c r="Q77" i="38"/>
  <c r="N77" i="38"/>
  <c r="L77" i="38"/>
  <c r="K77" i="38"/>
  <c r="Q76" i="38"/>
  <c r="N76" i="38"/>
  <c r="L76" i="38"/>
  <c r="K76" i="38"/>
  <c r="Q75" i="38"/>
  <c r="N75" i="38"/>
  <c r="L75" i="38"/>
  <c r="K75" i="38"/>
  <c r="Q74" i="38"/>
  <c r="N74" i="38"/>
  <c r="L74" i="38"/>
  <c r="K74" i="38"/>
  <c r="Q73" i="38"/>
  <c r="N73" i="38"/>
  <c r="L73" i="38"/>
  <c r="K73" i="38"/>
  <c r="Q72" i="38"/>
  <c r="N72" i="38"/>
  <c r="L72" i="38"/>
  <c r="K72" i="38"/>
  <c r="Q71" i="38"/>
  <c r="N71" i="38"/>
  <c r="L71" i="38"/>
  <c r="K71" i="38"/>
  <c r="Q70" i="38"/>
  <c r="N70" i="38"/>
  <c r="L70" i="38"/>
  <c r="K70" i="38"/>
  <c r="Q69" i="38"/>
  <c r="N69" i="38"/>
  <c r="L69" i="38"/>
  <c r="K69" i="38"/>
  <c r="Q68" i="38"/>
  <c r="N68" i="38"/>
  <c r="L68" i="38"/>
  <c r="K68" i="38"/>
  <c r="Q67" i="38"/>
  <c r="N67" i="38"/>
  <c r="L67" i="38"/>
  <c r="K67" i="38"/>
  <c r="Q66" i="38"/>
  <c r="N66" i="38"/>
  <c r="L66" i="38"/>
  <c r="K66" i="38"/>
  <c r="Q65" i="38"/>
  <c r="N65" i="38"/>
  <c r="L65" i="38"/>
  <c r="K65" i="38"/>
  <c r="Q64" i="38"/>
  <c r="N64" i="38"/>
  <c r="L64" i="38"/>
  <c r="K64" i="38"/>
  <c r="Q63" i="38"/>
  <c r="N63" i="38"/>
  <c r="L63" i="38"/>
  <c r="K63" i="38"/>
  <c r="Q62" i="38"/>
  <c r="N62" i="38"/>
  <c r="L62" i="38"/>
  <c r="K62" i="38"/>
  <c r="Q61" i="38"/>
  <c r="N61" i="38"/>
  <c r="L61" i="38"/>
  <c r="K61" i="38"/>
  <c r="Q60" i="38"/>
  <c r="N60" i="38"/>
  <c r="L60" i="38"/>
  <c r="K60" i="38"/>
  <c r="Q59" i="38"/>
  <c r="N59" i="38"/>
  <c r="L59" i="38"/>
  <c r="K59" i="38"/>
  <c r="Q58" i="38"/>
  <c r="N58" i="38"/>
  <c r="L58" i="38"/>
  <c r="K58" i="38"/>
  <c r="Q57" i="38"/>
  <c r="N57" i="38"/>
  <c r="L57" i="38"/>
  <c r="K57" i="38"/>
  <c r="Q56" i="38"/>
  <c r="N56" i="38"/>
  <c r="L56" i="38"/>
  <c r="K56" i="38"/>
  <c r="Q55" i="38"/>
  <c r="N55" i="38"/>
  <c r="L55" i="38"/>
  <c r="K55" i="38"/>
  <c r="Q54" i="38"/>
  <c r="N54" i="38"/>
  <c r="L54" i="38"/>
  <c r="K54" i="38"/>
  <c r="Q53" i="38"/>
  <c r="N53" i="38"/>
  <c r="L53" i="38"/>
  <c r="K53" i="38"/>
  <c r="Q52" i="38"/>
  <c r="N52" i="38"/>
  <c r="L52" i="38"/>
  <c r="K52" i="38"/>
  <c r="Q51" i="38"/>
  <c r="N51" i="38"/>
  <c r="L51" i="38"/>
  <c r="K51" i="38"/>
  <c r="Q50" i="38"/>
  <c r="N50" i="38"/>
  <c r="L50" i="38"/>
  <c r="K50" i="38"/>
  <c r="Q49" i="38"/>
  <c r="N49" i="38"/>
  <c r="L49" i="38"/>
  <c r="K49" i="38"/>
  <c r="Q48" i="38"/>
  <c r="N48" i="38"/>
  <c r="L48" i="38"/>
  <c r="K48" i="38"/>
  <c r="Q47" i="38"/>
  <c r="N47" i="38"/>
  <c r="L47" i="38"/>
  <c r="K47" i="38"/>
  <c r="Q46" i="38"/>
  <c r="N46" i="38"/>
  <c r="L46" i="38"/>
  <c r="K46" i="38"/>
  <c r="Q45" i="38"/>
  <c r="N45" i="38"/>
  <c r="L45" i="38"/>
  <c r="K45" i="38"/>
  <c r="Q44" i="38"/>
  <c r="N44" i="38"/>
  <c r="L44" i="38"/>
  <c r="K44" i="38"/>
  <c r="Q43" i="38"/>
  <c r="N43" i="38"/>
  <c r="L43" i="38"/>
  <c r="K43" i="38"/>
  <c r="Q42" i="38"/>
  <c r="N42" i="38"/>
  <c r="L42" i="38"/>
  <c r="K42" i="38"/>
  <c r="Q41" i="38"/>
  <c r="N41" i="38"/>
  <c r="L41" i="38"/>
  <c r="K41" i="38"/>
  <c r="Q40" i="38"/>
  <c r="N40" i="38"/>
  <c r="L40" i="38"/>
  <c r="K40" i="38"/>
  <c r="Q39" i="38"/>
  <c r="N39" i="38"/>
  <c r="L39" i="38"/>
  <c r="K39" i="38"/>
  <c r="Q38" i="38"/>
  <c r="N38" i="38"/>
  <c r="L38" i="38"/>
  <c r="K38" i="38"/>
  <c r="Q37" i="38"/>
  <c r="N37" i="38"/>
  <c r="L37" i="38"/>
  <c r="K37" i="38"/>
  <c r="Q36" i="38"/>
  <c r="N36" i="38"/>
  <c r="L36" i="38"/>
  <c r="K36" i="38"/>
  <c r="Q35" i="38"/>
  <c r="N35" i="38"/>
  <c r="L35" i="38"/>
  <c r="K35" i="38"/>
  <c r="Q34" i="38"/>
  <c r="N34" i="38"/>
  <c r="L34" i="38"/>
  <c r="K34" i="38"/>
  <c r="Q33" i="38"/>
  <c r="N33" i="38"/>
  <c r="L33" i="38"/>
  <c r="K33" i="38"/>
  <c r="Q32" i="38"/>
  <c r="N32" i="38"/>
  <c r="L32" i="38"/>
  <c r="K32" i="38"/>
  <c r="Q31" i="38"/>
  <c r="N31" i="38"/>
  <c r="L31" i="38"/>
  <c r="K31" i="38"/>
  <c r="Q30" i="38"/>
  <c r="N30" i="38"/>
  <c r="L30" i="38"/>
  <c r="K30" i="38"/>
  <c r="Q29" i="38"/>
  <c r="N29" i="38"/>
  <c r="L29" i="38"/>
  <c r="K29" i="38"/>
  <c r="Q28" i="38"/>
  <c r="N28" i="38"/>
  <c r="L28" i="38"/>
  <c r="K28" i="38"/>
  <c r="Q27" i="38"/>
  <c r="N27" i="38"/>
  <c r="L27" i="38"/>
  <c r="K27" i="38"/>
  <c r="Q26" i="38"/>
  <c r="N26" i="38"/>
  <c r="L26" i="38"/>
  <c r="K26" i="38"/>
  <c r="Q25" i="38"/>
  <c r="N25" i="38"/>
  <c r="L25" i="38"/>
  <c r="K25" i="38"/>
  <c r="Q24" i="38"/>
  <c r="N24" i="38"/>
  <c r="L24" i="38"/>
  <c r="K24" i="38"/>
  <c r="Q23" i="38"/>
  <c r="N23" i="38"/>
  <c r="L23" i="38"/>
  <c r="K23" i="38"/>
  <c r="Q22" i="38"/>
  <c r="N22" i="38"/>
  <c r="L22" i="38"/>
  <c r="K22" i="38"/>
  <c r="Q21" i="38"/>
  <c r="N21" i="38"/>
  <c r="L21" i="38"/>
  <c r="K21" i="38"/>
  <c r="Q20" i="38"/>
  <c r="N20" i="38"/>
  <c r="L20" i="38"/>
  <c r="K20" i="38"/>
  <c r="Q19" i="38"/>
  <c r="N19" i="38"/>
  <c r="L19" i="38"/>
  <c r="K19" i="38"/>
  <c r="Q18" i="38"/>
  <c r="N18" i="38"/>
  <c r="L18" i="38"/>
  <c r="K18" i="38"/>
  <c r="Q17" i="38"/>
  <c r="N17" i="38"/>
  <c r="L17" i="38"/>
  <c r="K17" i="38"/>
  <c r="Q16" i="38"/>
  <c r="N16" i="38"/>
  <c r="L16" i="38"/>
  <c r="K16" i="38"/>
  <c r="Q15" i="38"/>
  <c r="N15" i="38"/>
  <c r="L15" i="38"/>
  <c r="K15" i="38"/>
  <c r="Q14" i="38"/>
  <c r="N14" i="38"/>
  <c r="L14" i="38"/>
  <c r="K14" i="38"/>
  <c r="Q13" i="38"/>
  <c r="N13" i="38"/>
  <c r="L13" i="38"/>
  <c r="K13" i="38"/>
  <c r="Q12" i="38"/>
  <c r="N12" i="38"/>
  <c r="L12" i="38"/>
  <c r="K12" i="38"/>
  <c r="Q11" i="38"/>
  <c r="N11" i="38"/>
  <c r="L11" i="38"/>
  <c r="K11" i="38"/>
  <c r="Q10" i="38"/>
  <c r="N10" i="38"/>
  <c r="L10" i="38"/>
  <c r="K10" i="38"/>
  <c r="Q9" i="38"/>
  <c r="N9" i="38"/>
  <c r="L9" i="38"/>
  <c r="Q8" i="38"/>
  <c r="N8" i="38"/>
  <c r="L8" i="38"/>
  <c r="K8" i="38"/>
  <c r="Q7" i="38"/>
  <c r="N7" i="38"/>
  <c r="L7" i="38"/>
  <c r="K7" i="38"/>
  <c r="Q6" i="38"/>
  <c r="N6" i="38"/>
  <c r="L6" i="38"/>
  <c r="K6" i="38"/>
  <c r="F27" i="7"/>
  <c r="E33" i="7"/>
  <c r="J85" i="38"/>
  <c r="J84" i="38"/>
  <c r="J83" i="38"/>
  <c r="J82" i="38"/>
  <c r="J81" i="38"/>
  <c r="J80" i="38"/>
  <c r="J79" i="38"/>
  <c r="J78" i="38"/>
  <c r="J77" i="38"/>
  <c r="J76" i="38"/>
  <c r="J75" i="38"/>
  <c r="J74" i="38"/>
  <c r="J73" i="38"/>
  <c r="J72" i="38"/>
  <c r="J71" i="38"/>
  <c r="J70" i="38"/>
  <c r="J69" i="38"/>
  <c r="J68" i="38"/>
  <c r="J67" i="38"/>
  <c r="J66" i="38"/>
  <c r="J65" i="38"/>
  <c r="J64" i="38"/>
  <c r="J63" i="38"/>
  <c r="J62" i="38"/>
  <c r="J61" i="38"/>
  <c r="J60" i="38"/>
  <c r="J59" i="38"/>
  <c r="J58" i="38"/>
  <c r="J57" i="38"/>
  <c r="J56" i="38"/>
  <c r="J55" i="38"/>
  <c r="J54" i="38"/>
  <c r="J53" i="38"/>
  <c r="J52" i="38"/>
  <c r="J51" i="38"/>
  <c r="J50" i="38"/>
  <c r="J49" i="38"/>
  <c r="J48" i="38"/>
  <c r="J47" i="38"/>
  <c r="J46" i="38"/>
  <c r="J45" i="38"/>
  <c r="J44" i="38"/>
  <c r="J43" i="38"/>
  <c r="J42" i="38"/>
  <c r="J41" i="38"/>
  <c r="J40" i="38"/>
  <c r="J39" i="38"/>
  <c r="J38" i="38"/>
  <c r="J37" i="38"/>
  <c r="J36" i="38"/>
  <c r="J35" i="38"/>
  <c r="J34" i="38"/>
  <c r="J33" i="38"/>
  <c r="J32" i="38"/>
  <c r="J31" i="38"/>
  <c r="J30" i="38"/>
  <c r="J29" i="38"/>
  <c r="J28" i="38"/>
  <c r="J27" i="38"/>
  <c r="J26" i="38"/>
  <c r="J25" i="38"/>
  <c r="J24" i="38"/>
  <c r="J23" i="38"/>
  <c r="J22" i="38"/>
  <c r="J21" i="38"/>
  <c r="J20" i="38"/>
  <c r="J19" i="38"/>
  <c r="J18" i="38"/>
  <c r="J17" i="38"/>
  <c r="J16" i="38"/>
  <c r="J15" i="38"/>
  <c r="J14" i="38"/>
  <c r="J13" i="38"/>
  <c r="J12" i="38"/>
  <c r="J11" i="38"/>
  <c r="J10" i="38"/>
  <c r="J9" i="38"/>
  <c r="J8" i="38"/>
  <c r="J7" i="38"/>
  <c r="J6" i="38"/>
  <c r="J5" i="38"/>
  <c r="N67" i="34"/>
  <c r="N66" i="34"/>
  <c r="N65" i="34"/>
  <c r="N64" i="34"/>
  <c r="N63" i="34"/>
  <c r="N62" i="34"/>
  <c r="N61" i="34"/>
  <c r="N60" i="34"/>
  <c r="N59" i="34"/>
  <c r="N58" i="34"/>
  <c r="N57" i="34"/>
  <c r="N56" i="34"/>
  <c r="N55" i="34"/>
  <c r="N54" i="34"/>
  <c r="N53" i="34"/>
  <c r="N52" i="34"/>
  <c r="N51" i="34"/>
  <c r="N50" i="34"/>
  <c r="N49" i="34"/>
  <c r="N48" i="34"/>
  <c r="N47" i="34"/>
  <c r="N46" i="34"/>
  <c r="N45" i="34"/>
  <c r="N44" i="34"/>
  <c r="N43" i="34"/>
  <c r="N42" i="34"/>
  <c r="N41" i="34"/>
  <c r="N40" i="34"/>
  <c r="N39" i="34"/>
  <c r="N38" i="34"/>
  <c r="N37" i="34"/>
  <c r="N36" i="34"/>
  <c r="N35" i="34"/>
  <c r="N34" i="34"/>
  <c r="N33" i="34"/>
  <c r="N32" i="34"/>
  <c r="N31" i="34"/>
  <c r="N30" i="34"/>
  <c r="N29" i="34"/>
  <c r="N28" i="34"/>
  <c r="N27" i="34"/>
  <c r="N26" i="34"/>
  <c r="N25" i="34"/>
  <c r="N24" i="34"/>
  <c r="N23" i="34"/>
  <c r="N22" i="34"/>
  <c r="N21" i="34"/>
  <c r="N20" i="34"/>
  <c r="N19" i="34"/>
  <c r="N18" i="34"/>
  <c r="N17" i="34"/>
  <c r="N16" i="34"/>
  <c r="N15" i="34"/>
  <c r="N14" i="34"/>
  <c r="N13" i="34"/>
  <c r="N12" i="34"/>
  <c r="N11" i="34"/>
  <c r="N10" i="34"/>
  <c r="N9" i="34"/>
  <c r="N8" i="34"/>
  <c r="N7" i="34"/>
  <c r="N6" i="34"/>
  <c r="E67" i="34"/>
  <c r="E66" i="34"/>
  <c r="E65" i="34"/>
  <c r="E64" i="34"/>
  <c r="E63" i="34"/>
  <c r="E62" i="34"/>
  <c r="E61" i="34"/>
  <c r="E60" i="34"/>
  <c r="E59" i="34"/>
  <c r="E58" i="34"/>
  <c r="E57" i="34"/>
  <c r="E56" i="34"/>
  <c r="E55" i="34"/>
  <c r="E54" i="34"/>
  <c r="E53" i="34"/>
  <c r="E52" i="34"/>
  <c r="E51" i="34"/>
  <c r="E50" i="34"/>
  <c r="E49" i="34"/>
  <c r="E48" i="34"/>
  <c r="E47" i="34"/>
  <c r="E46" i="34"/>
  <c r="E45" i="34"/>
  <c r="E44" i="34"/>
  <c r="E43" i="34"/>
  <c r="E42" i="34"/>
  <c r="E41" i="34"/>
  <c r="E40" i="34"/>
  <c r="E39" i="34"/>
  <c r="E38" i="34"/>
  <c r="E37" i="34"/>
  <c r="E36" i="34"/>
  <c r="E35" i="34"/>
  <c r="E34" i="34"/>
  <c r="E33" i="34"/>
  <c r="E32" i="34"/>
  <c r="E31" i="34"/>
  <c r="E30" i="34"/>
  <c r="E29" i="34"/>
  <c r="E28" i="34"/>
  <c r="E27" i="34"/>
  <c r="E26" i="34"/>
  <c r="E25" i="34"/>
  <c r="E24" i="34"/>
  <c r="E23" i="34"/>
  <c r="E22" i="34"/>
  <c r="E21" i="34"/>
  <c r="E20" i="34"/>
  <c r="E19" i="34"/>
  <c r="E18" i="34"/>
  <c r="E17" i="34"/>
  <c r="E16" i="34"/>
  <c r="E15" i="34"/>
  <c r="E14" i="34"/>
  <c r="E13" i="34"/>
  <c r="E12" i="34"/>
  <c r="E11" i="34"/>
  <c r="E10" i="34"/>
  <c r="E9" i="34"/>
  <c r="E8" i="34"/>
  <c r="E7" i="34"/>
  <c r="O67" i="34"/>
  <c r="O65" i="34"/>
  <c r="O64" i="34"/>
  <c r="O63" i="34"/>
  <c r="O62" i="34"/>
  <c r="O61" i="34"/>
  <c r="O60" i="34"/>
  <c r="O59" i="34"/>
  <c r="O58" i="34"/>
  <c r="O57" i="34"/>
  <c r="O56" i="34"/>
  <c r="O55" i="34"/>
  <c r="O54" i="34"/>
  <c r="O53" i="34"/>
  <c r="O52" i="34"/>
  <c r="O51" i="34"/>
  <c r="O49" i="34"/>
  <c r="O48" i="34"/>
  <c r="O47" i="34"/>
  <c r="O46" i="34"/>
  <c r="O45" i="34"/>
  <c r="O44" i="34"/>
  <c r="O43" i="34"/>
  <c r="O42" i="34"/>
  <c r="O41" i="34"/>
  <c r="O40" i="34"/>
  <c r="O39" i="34"/>
  <c r="O38" i="34"/>
  <c r="O37" i="34"/>
  <c r="O36" i="34"/>
  <c r="O35" i="34"/>
  <c r="O33" i="34"/>
  <c r="O32" i="34"/>
  <c r="O31" i="34"/>
  <c r="O30" i="34"/>
  <c r="O29" i="34"/>
  <c r="O28" i="34"/>
  <c r="O27" i="34"/>
  <c r="O26" i="34"/>
  <c r="O25" i="34"/>
  <c r="O24" i="34"/>
  <c r="O23" i="34"/>
  <c r="O22" i="34"/>
  <c r="O21" i="34"/>
  <c r="O20" i="34"/>
  <c r="O19" i="34"/>
  <c r="O17" i="34"/>
  <c r="O16" i="34"/>
  <c r="O14" i="34"/>
  <c r="O13" i="34"/>
  <c r="O12" i="34"/>
  <c r="O11" i="34"/>
  <c r="O10" i="34"/>
  <c r="O9" i="34"/>
  <c r="O8" i="34"/>
  <c r="O7" i="34"/>
  <c r="O6" i="34"/>
  <c r="O66" i="34"/>
  <c r="O50" i="34"/>
  <c r="O34" i="34"/>
  <c r="O18" i="34"/>
  <c r="O15" i="34"/>
  <c r="F67" i="34"/>
  <c r="F66" i="34"/>
  <c r="F65" i="34"/>
  <c r="F64" i="34"/>
  <c r="F63" i="34"/>
  <c r="F62" i="34"/>
  <c r="F61" i="34"/>
  <c r="F60" i="34"/>
  <c r="F59" i="34"/>
  <c r="F58" i="34"/>
  <c r="F57" i="34"/>
  <c r="F56" i="34"/>
  <c r="F55" i="34"/>
  <c r="F54" i="34"/>
  <c r="F53" i="34"/>
  <c r="F52" i="34"/>
  <c r="F51" i="34"/>
  <c r="F50" i="34"/>
  <c r="F49" i="34"/>
  <c r="F48" i="34"/>
  <c r="F47" i="34"/>
  <c r="F46" i="34"/>
  <c r="F45" i="34"/>
  <c r="F44" i="34"/>
  <c r="F43" i="34"/>
  <c r="F42" i="34"/>
  <c r="F41" i="34"/>
  <c r="F40" i="34"/>
  <c r="F39" i="34"/>
  <c r="F38" i="34"/>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F8" i="34"/>
  <c r="F7" i="34"/>
  <c r="F6" i="34"/>
  <c r="E26" i="33"/>
  <c r="E5" i="33"/>
  <c r="E39" i="33"/>
  <c r="E45" i="33"/>
  <c r="E55" i="33"/>
  <c r="E14" i="33"/>
  <c r="E25" i="33"/>
  <c r="E16" i="33"/>
  <c r="E6" i="33"/>
  <c r="E11" i="33"/>
  <c r="E15" i="33"/>
  <c r="E36" i="33"/>
  <c r="E22" i="33"/>
  <c r="E37" i="33"/>
  <c r="E31" i="33"/>
  <c r="E28" i="33"/>
  <c r="E34" i="33"/>
  <c r="E18" i="33"/>
  <c r="E23" i="33"/>
  <c r="E24" i="33"/>
  <c r="E30" i="33"/>
  <c r="E42" i="33"/>
  <c r="E29" i="33"/>
  <c r="E8" i="33"/>
  <c r="E20" i="33"/>
  <c r="E49" i="33"/>
  <c r="E27" i="33"/>
  <c r="E35" i="33"/>
  <c r="E53" i="33"/>
  <c r="E41" i="33"/>
  <c r="E13" i="33"/>
  <c r="E12" i="33"/>
  <c r="E10" i="33"/>
  <c r="E21" i="33"/>
  <c r="E19" i="33"/>
  <c r="E9" i="33"/>
  <c r="E7" i="33"/>
  <c r="E33" i="33"/>
  <c r="E43" i="33"/>
  <c r="E32" i="33"/>
  <c r="E38" i="33"/>
  <c r="E44" i="33"/>
  <c r="E46" i="33"/>
  <c r="E52" i="33"/>
  <c r="E50" i="33"/>
  <c r="E40" i="33"/>
  <c r="E47" i="33"/>
  <c r="E17" i="33"/>
  <c r="E51" i="33"/>
  <c r="E54" i="33"/>
  <c r="E48" i="33"/>
  <c r="D55" i="31"/>
  <c r="D54" i="31"/>
  <c r="D53" i="31"/>
  <c r="D52" i="31"/>
  <c r="D51" i="31"/>
  <c r="D50" i="31"/>
  <c r="D49" i="31"/>
  <c r="D48" i="31"/>
  <c r="D47" i="31"/>
  <c r="D46" i="31"/>
  <c r="D45" i="31"/>
  <c r="D44" i="31"/>
  <c r="D43" i="31"/>
  <c r="D42" i="31"/>
  <c r="D41" i="31"/>
  <c r="D40" i="31"/>
  <c r="D39" i="31"/>
  <c r="D38" i="31"/>
  <c r="D37" i="31"/>
  <c r="D36" i="31"/>
  <c r="D35" i="31"/>
  <c r="D34" i="31"/>
  <c r="D33" i="31"/>
  <c r="D32" i="31"/>
  <c r="D31" i="31"/>
  <c r="D30" i="31"/>
  <c r="D29" i="31"/>
  <c r="D28" i="31"/>
  <c r="D27" i="31"/>
  <c r="D26" i="31"/>
  <c r="D25" i="31"/>
  <c r="D24" i="31"/>
  <c r="D23" i="31"/>
  <c r="D22" i="31"/>
  <c r="D21" i="31"/>
  <c r="D20" i="31"/>
  <c r="D19" i="31"/>
  <c r="D18" i="31"/>
  <c r="D17" i="31"/>
  <c r="D16" i="31"/>
  <c r="D15" i="31"/>
  <c r="D14" i="31"/>
  <c r="D13" i="31"/>
  <c r="D12" i="31"/>
  <c r="D11" i="31"/>
  <c r="D10" i="31"/>
  <c r="D9" i="31"/>
  <c r="D8" i="31"/>
  <c r="D7" i="31"/>
  <c r="D6" i="31"/>
  <c r="D5" i="31"/>
  <c r="D55" i="30"/>
  <c r="D54" i="30"/>
  <c r="D53" i="30"/>
  <c r="D52" i="30"/>
  <c r="D51" i="30"/>
  <c r="D50" i="30"/>
  <c r="D49" i="30"/>
  <c r="D48" i="30"/>
  <c r="D47" i="30"/>
  <c r="D46" i="30"/>
  <c r="D45" i="30"/>
  <c r="D44" i="30"/>
  <c r="D43" i="30"/>
  <c r="D42" i="30"/>
  <c r="D41" i="30"/>
  <c r="D40" i="30"/>
  <c r="D39" i="30"/>
  <c r="D38" i="30"/>
  <c r="D37" i="30"/>
  <c r="D36" i="30"/>
  <c r="D35" i="30"/>
  <c r="D34" i="30"/>
  <c r="D33" i="30"/>
  <c r="D32" i="30"/>
  <c r="D31" i="30"/>
  <c r="D30" i="30"/>
  <c r="D29" i="30"/>
  <c r="D28" i="30"/>
  <c r="D27" i="30"/>
  <c r="D26" i="30"/>
  <c r="D25" i="30"/>
  <c r="D24" i="30"/>
  <c r="D23" i="30"/>
  <c r="D22" i="30"/>
  <c r="D21" i="30"/>
  <c r="D20" i="30"/>
  <c r="D19" i="30"/>
  <c r="D18" i="30"/>
  <c r="D17" i="30"/>
  <c r="D16" i="30"/>
  <c r="D15" i="30"/>
  <c r="D14" i="30"/>
  <c r="D13" i="30"/>
  <c r="D12" i="30"/>
  <c r="D11" i="30"/>
  <c r="D10" i="30"/>
  <c r="D9" i="30"/>
  <c r="D8" i="30"/>
  <c r="D7" i="30"/>
  <c r="D6" i="30"/>
  <c r="D5" i="30"/>
  <c r="K6" i="27"/>
  <c r="L6" i="27"/>
  <c r="K7" i="27"/>
  <c r="L7" i="27"/>
  <c r="K8" i="27"/>
  <c r="K9" i="27"/>
  <c r="L9" i="27"/>
  <c r="K10" i="27"/>
  <c r="L10" i="27"/>
  <c r="K11" i="27"/>
  <c r="L11" i="27"/>
  <c r="K12" i="27"/>
  <c r="L12" i="27"/>
  <c r="K13" i="27"/>
  <c r="L13" i="27"/>
  <c r="K14" i="27"/>
  <c r="L14" i="27"/>
  <c r="K15" i="27"/>
  <c r="L15" i="27"/>
  <c r="K16" i="27"/>
  <c r="L16" i="27"/>
  <c r="K17" i="27"/>
  <c r="L17" i="27"/>
  <c r="K18" i="27"/>
  <c r="L18" i="27"/>
  <c r="K19" i="27"/>
  <c r="L19" i="27"/>
  <c r="L5" i="27"/>
  <c r="J65" i="20"/>
  <c r="J64" i="20"/>
  <c r="J63" i="20"/>
  <c r="J62" i="20"/>
  <c r="J61" i="20"/>
  <c r="J60" i="20"/>
  <c r="J59" i="20"/>
  <c r="J58" i="20"/>
  <c r="J57" i="20"/>
  <c r="J56" i="20"/>
  <c r="J55" i="20"/>
  <c r="J54" i="20"/>
  <c r="J53" i="20"/>
  <c r="J52" i="20"/>
  <c r="J51" i="20"/>
  <c r="J50" i="20"/>
  <c r="J49" i="20"/>
  <c r="J48" i="20"/>
  <c r="J47" i="20"/>
  <c r="J46" i="20"/>
  <c r="J45" i="20"/>
  <c r="J44" i="20"/>
  <c r="J43" i="20"/>
  <c r="J42" i="20"/>
  <c r="J41" i="20"/>
  <c r="J40" i="20"/>
  <c r="J39" i="20"/>
  <c r="J38" i="20"/>
  <c r="J37" i="20"/>
  <c r="J36" i="20"/>
  <c r="J35" i="20"/>
  <c r="J34" i="20"/>
  <c r="J33" i="20"/>
  <c r="J32" i="20"/>
  <c r="J31" i="20"/>
  <c r="J30" i="20"/>
  <c r="J29" i="20"/>
  <c r="J28" i="20"/>
  <c r="J27" i="20"/>
  <c r="J26" i="20"/>
  <c r="J25" i="20"/>
  <c r="J24" i="20"/>
  <c r="J23" i="20"/>
  <c r="J22" i="20"/>
  <c r="J21" i="20"/>
  <c r="J20" i="20"/>
  <c r="J19" i="20"/>
  <c r="J18" i="20"/>
  <c r="J17" i="20"/>
  <c r="J16" i="20"/>
  <c r="J15" i="20"/>
  <c r="J14" i="20"/>
  <c r="J13" i="20"/>
  <c r="J12" i="20"/>
  <c r="J11" i="20"/>
  <c r="J10" i="20"/>
  <c r="J9" i="20"/>
  <c r="J8" i="20"/>
  <c r="J7" i="20"/>
  <c r="J6" i="20"/>
  <c r="J5" i="20"/>
  <c r="M66" i="20"/>
  <c r="L66" i="20"/>
  <c r="L65" i="20"/>
  <c r="L64" i="20"/>
  <c r="L63" i="20"/>
  <c r="L62" i="20"/>
  <c r="L61" i="20"/>
  <c r="L60" i="20"/>
  <c r="L59" i="20"/>
  <c r="L58" i="20"/>
  <c r="L57" i="20"/>
  <c r="L56" i="20"/>
  <c r="L55" i="20"/>
  <c r="L54" i="20"/>
  <c r="L53" i="20"/>
  <c r="L52" i="20"/>
  <c r="L51" i="20"/>
  <c r="L50" i="20"/>
  <c r="L49" i="20"/>
  <c r="L48" i="20"/>
  <c r="L47" i="20"/>
  <c r="L46" i="20"/>
  <c r="L45" i="20"/>
  <c r="L44" i="20"/>
  <c r="L43" i="20"/>
  <c r="L42" i="20"/>
  <c r="L41" i="20"/>
  <c r="L40" i="20"/>
  <c r="L39" i="20"/>
  <c r="L38" i="20"/>
  <c r="L37" i="20"/>
  <c r="L36" i="20"/>
  <c r="L35" i="20"/>
  <c r="L34" i="20"/>
  <c r="L33" i="20"/>
  <c r="L32" i="20"/>
  <c r="L31" i="20"/>
  <c r="L30" i="20"/>
  <c r="L29" i="20"/>
  <c r="L28" i="20"/>
  <c r="L27" i="20"/>
  <c r="L26" i="20"/>
  <c r="L25" i="20"/>
  <c r="L24" i="20"/>
  <c r="L23" i="20"/>
  <c r="L22" i="20"/>
  <c r="L21" i="20"/>
  <c r="L20" i="20"/>
  <c r="L19" i="20"/>
  <c r="L18" i="20"/>
  <c r="L17" i="20"/>
  <c r="L16" i="20"/>
  <c r="L15" i="20"/>
  <c r="L14" i="20"/>
  <c r="L13" i="20"/>
  <c r="L12" i="20"/>
  <c r="L11" i="20"/>
  <c r="L10" i="20"/>
  <c r="L9" i="20"/>
  <c r="L8" i="20"/>
  <c r="L7" i="20"/>
  <c r="L6" i="20"/>
  <c r="L5" i="20"/>
  <c r="K6" i="20"/>
  <c r="D48" i="33"/>
  <c r="M6" i="20"/>
  <c r="K7" i="20"/>
  <c r="D54" i="33"/>
  <c r="M7" i="20"/>
  <c r="K8" i="20"/>
  <c r="D51" i="33"/>
  <c r="M8" i="20"/>
  <c r="K9" i="20"/>
  <c r="D17" i="33"/>
  <c r="M9" i="20"/>
  <c r="K10" i="20"/>
  <c r="D47" i="33"/>
  <c r="M10" i="20"/>
  <c r="K11" i="20"/>
  <c r="D40" i="33"/>
  <c r="M11" i="20"/>
  <c r="K12" i="20"/>
  <c r="M12" i="20"/>
  <c r="K13" i="20"/>
  <c r="D50" i="33"/>
  <c r="M13" i="20"/>
  <c r="K14" i="20"/>
  <c r="D52" i="33"/>
  <c r="M14" i="20"/>
  <c r="K15" i="20"/>
  <c r="D46" i="33"/>
  <c r="M15" i="20"/>
  <c r="K16" i="20"/>
  <c r="M16" i="20"/>
  <c r="K17" i="20"/>
  <c r="D44" i="33"/>
  <c r="M17" i="20"/>
  <c r="K18" i="20"/>
  <c r="D38" i="33"/>
  <c r="M18" i="20"/>
  <c r="K19" i="20"/>
  <c r="D32" i="33"/>
  <c r="M19" i="20"/>
  <c r="K20" i="20"/>
  <c r="D43" i="33"/>
  <c r="M20" i="20"/>
  <c r="K21" i="20"/>
  <c r="D33" i="33"/>
  <c r="M21" i="20"/>
  <c r="K22" i="20"/>
  <c r="M22" i="20"/>
  <c r="K23" i="20"/>
  <c r="D7" i="33"/>
  <c r="M23" i="20"/>
  <c r="K24" i="20"/>
  <c r="D9" i="33"/>
  <c r="M24" i="20"/>
  <c r="K25" i="20"/>
  <c r="D19" i="33"/>
  <c r="M25" i="20"/>
  <c r="K26" i="20"/>
  <c r="D21" i="33"/>
  <c r="M26" i="20"/>
  <c r="K27" i="20"/>
  <c r="D10" i="33"/>
  <c r="M27" i="20"/>
  <c r="K28" i="20"/>
  <c r="D12" i="33"/>
  <c r="M28" i="20"/>
  <c r="K29" i="20"/>
  <c r="D13" i="33"/>
  <c r="M29" i="20"/>
  <c r="K30" i="20"/>
  <c r="M30" i="20"/>
  <c r="K31" i="20"/>
  <c r="D41" i="33"/>
  <c r="M31" i="20"/>
  <c r="K32" i="20"/>
  <c r="D53" i="33"/>
  <c r="M32" i="20"/>
  <c r="K33" i="20"/>
  <c r="D35" i="33"/>
  <c r="M33" i="20"/>
  <c r="K34" i="20"/>
  <c r="D27" i="33"/>
  <c r="M34" i="20"/>
  <c r="K35" i="20"/>
  <c r="D49" i="33"/>
  <c r="M35" i="20"/>
  <c r="K36" i="20"/>
  <c r="D20" i="33"/>
  <c r="M36" i="20"/>
  <c r="K37" i="20"/>
  <c r="D8" i="33"/>
  <c r="M37" i="20"/>
  <c r="K38" i="20"/>
  <c r="D29" i="33"/>
  <c r="M38" i="20"/>
  <c r="K39" i="20"/>
  <c r="D42" i="33"/>
  <c r="M39" i="20"/>
  <c r="K40" i="20"/>
  <c r="M40" i="20"/>
  <c r="K41" i="20"/>
  <c r="D30" i="33"/>
  <c r="M41" i="20"/>
  <c r="K42" i="20"/>
  <c r="D24" i="33"/>
  <c r="M42" i="20"/>
  <c r="K43" i="20"/>
  <c r="D23" i="33"/>
  <c r="M43" i="20"/>
  <c r="K44" i="20"/>
  <c r="D18" i="33"/>
  <c r="M44" i="20"/>
  <c r="K45" i="20"/>
  <c r="M45" i="20"/>
  <c r="K46" i="20"/>
  <c r="D34" i="33"/>
  <c r="M46" i="20"/>
  <c r="K47" i="20"/>
  <c r="D28" i="33"/>
  <c r="M47" i="20"/>
  <c r="K48" i="20"/>
  <c r="D31" i="33"/>
  <c r="M48" i="20"/>
  <c r="K49" i="20"/>
  <c r="D37" i="33"/>
  <c r="M49" i="20"/>
  <c r="K50" i="20"/>
  <c r="M50" i="20"/>
  <c r="K51" i="20"/>
  <c r="D22" i="33"/>
  <c r="M51" i="20"/>
  <c r="K52" i="20"/>
  <c r="D36" i="33"/>
  <c r="M52" i="20"/>
  <c r="K53" i="20"/>
  <c r="D15" i="33"/>
  <c r="M53" i="20"/>
  <c r="K54" i="20"/>
  <c r="D11" i="33"/>
  <c r="M54" i="20"/>
  <c r="K55" i="20"/>
  <c r="D6" i="33"/>
  <c r="M55" i="20"/>
  <c r="K56" i="20"/>
  <c r="D16" i="33"/>
  <c r="M56" i="20"/>
  <c r="K57" i="20"/>
  <c r="D25" i="33"/>
  <c r="M57" i="20"/>
  <c r="K58" i="20"/>
  <c r="D14" i="33"/>
  <c r="M58" i="20"/>
  <c r="K59" i="20"/>
  <c r="M59" i="20"/>
  <c r="K60" i="20"/>
  <c r="D55" i="33"/>
  <c r="M60" i="20"/>
  <c r="K61" i="20"/>
  <c r="D45" i="33"/>
  <c r="M61" i="20"/>
  <c r="K62" i="20"/>
  <c r="D39" i="33"/>
  <c r="M62" i="20"/>
  <c r="K63" i="20"/>
  <c r="M63" i="20"/>
  <c r="K64" i="20"/>
  <c r="D5" i="33"/>
  <c r="M64" i="20"/>
  <c r="K65" i="20"/>
  <c r="D26" i="33"/>
  <c r="M65" i="20"/>
  <c r="K66" i="20"/>
  <c r="M5" i="20"/>
  <c r="K5" i="20"/>
  <c r="E20" i="18"/>
  <c r="D20" i="18"/>
  <c r="C20" i="18"/>
  <c r="B20" i="18"/>
  <c r="D21" i="18"/>
  <c r="D36" i="18"/>
  <c r="D19" i="18"/>
  <c r="D18" i="18"/>
  <c r="D17" i="18"/>
  <c r="D16" i="18"/>
  <c r="D15" i="18"/>
  <c r="D14" i="18"/>
  <c r="D13" i="18"/>
  <c r="D12" i="18"/>
  <c r="D11" i="18"/>
  <c r="D10" i="18"/>
  <c r="D9" i="18"/>
  <c r="D8" i="18"/>
  <c r="D7" i="18"/>
  <c r="D6" i="18"/>
  <c r="B21" i="18"/>
  <c r="C21" i="18"/>
  <c r="C29" i="18"/>
  <c r="E21" i="18"/>
  <c r="E36" i="18"/>
  <c r="E19" i="18"/>
  <c r="C19" i="18"/>
  <c r="B19" i="18"/>
  <c r="E18" i="18"/>
  <c r="C18" i="18"/>
  <c r="B18" i="18"/>
  <c r="E17" i="18"/>
  <c r="C17" i="18"/>
  <c r="B17" i="18"/>
  <c r="E16" i="18"/>
  <c r="C16" i="18"/>
  <c r="B16" i="18"/>
  <c r="E15" i="18"/>
  <c r="C15" i="18"/>
  <c r="B15" i="18"/>
  <c r="E14" i="18"/>
  <c r="C14" i="18"/>
  <c r="B14" i="18"/>
  <c r="E13" i="18"/>
  <c r="C13" i="18"/>
  <c r="B13" i="18"/>
  <c r="E12" i="18"/>
  <c r="C12" i="18"/>
  <c r="B12" i="18"/>
  <c r="E11" i="18"/>
  <c r="C11" i="18"/>
  <c r="B11" i="18"/>
  <c r="E10" i="18"/>
  <c r="C10" i="18"/>
  <c r="B10" i="18"/>
  <c r="E9" i="18"/>
  <c r="C9" i="18"/>
  <c r="B9" i="18"/>
  <c r="E8" i="18"/>
  <c r="C8" i="18"/>
  <c r="B8" i="18"/>
  <c r="E7" i="18"/>
  <c r="C7" i="18"/>
  <c r="B7" i="18"/>
  <c r="E6" i="18"/>
  <c r="C6" i="18"/>
  <c r="B6" i="18"/>
  <c r="E34" i="18"/>
  <c r="E35" i="18"/>
  <c r="E33" i="18"/>
  <c r="D43" i="18"/>
  <c r="D35" i="18"/>
  <c r="D33" i="18"/>
  <c r="D26" i="18"/>
  <c r="D34" i="18"/>
  <c r="D27" i="18"/>
  <c r="D28" i="18"/>
  <c r="D29" i="18"/>
  <c r="C33" i="18"/>
  <c r="C34" i="18"/>
  <c r="C35" i="18"/>
  <c r="C36" i="18"/>
  <c r="C40" i="18"/>
  <c r="E29" i="18"/>
  <c r="B40" i="18"/>
  <c r="D40" i="18"/>
  <c r="C41" i="18"/>
  <c r="E40" i="18"/>
  <c r="D41" i="18"/>
  <c r="C42" i="18"/>
  <c r="E42" i="18"/>
  <c r="C43" i="18"/>
  <c r="B26" i="18"/>
  <c r="C26" i="18"/>
  <c r="E26" i="18"/>
  <c r="B42" i="18"/>
  <c r="B43" i="18"/>
  <c r="D42" i="18"/>
  <c r="E43" i="18"/>
  <c r="E28" i="18"/>
  <c r="B41" i="18"/>
  <c r="E41" i="18"/>
  <c r="C27" i="18"/>
  <c r="C28" i="18"/>
  <c r="E27" i="18"/>
  <c r="H66" i="15"/>
  <c r="G66" i="15"/>
  <c r="D66" i="15"/>
  <c r="H65" i="15"/>
  <c r="G65" i="15"/>
  <c r="I65" i="15" s="1"/>
  <c r="D65" i="15"/>
  <c r="H64" i="15"/>
  <c r="G64" i="15"/>
  <c r="D64" i="15"/>
  <c r="H63" i="15"/>
  <c r="G63" i="15"/>
  <c r="D63" i="15"/>
  <c r="H62" i="15"/>
  <c r="G62" i="15"/>
  <c r="I62" i="15" s="1"/>
  <c r="D62" i="15"/>
  <c r="H61" i="15"/>
  <c r="G61" i="15"/>
  <c r="D61" i="15"/>
  <c r="H60" i="15"/>
  <c r="G60" i="15"/>
  <c r="I60" i="15" s="1"/>
  <c r="D60" i="15"/>
  <c r="H59" i="15"/>
  <c r="G59" i="15"/>
  <c r="I59" i="15" s="1"/>
  <c r="D59" i="15"/>
  <c r="H58" i="15"/>
  <c r="G58" i="15"/>
  <c r="D58" i="15"/>
  <c r="H57" i="15"/>
  <c r="G57" i="15"/>
  <c r="D57" i="15"/>
  <c r="H56" i="15"/>
  <c r="G56" i="15"/>
  <c r="D56" i="15"/>
  <c r="H55" i="15"/>
  <c r="G55" i="15"/>
  <c r="D55" i="15"/>
  <c r="H54" i="15"/>
  <c r="G54" i="15"/>
  <c r="I54" i="15" s="1"/>
  <c r="D54" i="15"/>
  <c r="H53" i="15"/>
  <c r="G53" i="15"/>
  <c r="D53" i="15"/>
  <c r="H52" i="15"/>
  <c r="G52" i="15"/>
  <c r="D52" i="15"/>
  <c r="H51" i="15"/>
  <c r="G51" i="15"/>
  <c r="I51" i="15" s="1"/>
  <c r="D51" i="15"/>
  <c r="H50" i="15"/>
  <c r="G50" i="15"/>
  <c r="D50" i="15"/>
  <c r="H49" i="15"/>
  <c r="G49" i="15"/>
  <c r="I49" i="15" s="1"/>
  <c r="D49" i="15"/>
  <c r="H48" i="15"/>
  <c r="G48" i="15"/>
  <c r="I48" i="15" s="1"/>
  <c r="D48" i="15"/>
  <c r="H47" i="15"/>
  <c r="G47" i="15"/>
  <c r="D47" i="15"/>
  <c r="H46" i="15"/>
  <c r="G46" i="15"/>
  <c r="D46" i="15"/>
  <c r="H45" i="15"/>
  <c r="G45" i="15"/>
  <c r="I45" i="15" s="1"/>
  <c r="D45" i="15"/>
  <c r="H44" i="15"/>
  <c r="G44" i="15"/>
  <c r="I44" i="15" s="1"/>
  <c r="D44" i="15"/>
  <c r="H43" i="15"/>
  <c r="G43" i="15"/>
  <c r="I43" i="15" s="1"/>
  <c r="D43" i="15"/>
  <c r="H42" i="15"/>
  <c r="G42" i="15"/>
  <c r="I42" i="15" s="1"/>
  <c r="D42" i="15"/>
  <c r="H41" i="15"/>
  <c r="G41" i="15"/>
  <c r="I41" i="15" s="1"/>
  <c r="D41" i="15"/>
  <c r="H40" i="15"/>
  <c r="G40" i="15"/>
  <c r="I40" i="15" s="1"/>
  <c r="D40" i="15"/>
  <c r="H39" i="15"/>
  <c r="G39" i="15"/>
  <c r="I39" i="15" s="1"/>
  <c r="D39" i="15"/>
  <c r="H38" i="15"/>
  <c r="G38" i="15"/>
  <c r="I38" i="15" s="1"/>
  <c r="D38" i="15"/>
  <c r="H37" i="15"/>
  <c r="G37" i="15"/>
  <c r="I37" i="15" s="1"/>
  <c r="D37" i="15"/>
  <c r="H36" i="15"/>
  <c r="G36" i="15"/>
  <c r="I36" i="15" s="1"/>
  <c r="D36" i="15"/>
  <c r="H35" i="15"/>
  <c r="G35" i="15"/>
  <c r="I35" i="15" s="1"/>
  <c r="D35" i="15"/>
  <c r="H34" i="15"/>
  <c r="G34" i="15"/>
  <c r="I34" i="15" s="1"/>
  <c r="D34" i="15"/>
  <c r="H33" i="15"/>
  <c r="G33" i="15"/>
  <c r="I33" i="15" s="1"/>
  <c r="D33" i="15"/>
  <c r="H32" i="15"/>
  <c r="G32" i="15"/>
  <c r="I32" i="15" s="1"/>
  <c r="D32" i="15"/>
  <c r="H31" i="15"/>
  <c r="G31" i="15"/>
  <c r="I31" i="15" s="1"/>
  <c r="D31" i="15"/>
  <c r="H30" i="15"/>
  <c r="G30" i="15"/>
  <c r="I30" i="15" s="1"/>
  <c r="D30" i="15"/>
  <c r="H29" i="15"/>
  <c r="G29" i="15"/>
  <c r="I29" i="15" s="1"/>
  <c r="D29" i="15"/>
  <c r="H28" i="15"/>
  <c r="G28" i="15"/>
  <c r="I28" i="15" s="1"/>
  <c r="D28" i="15"/>
  <c r="H27" i="15"/>
  <c r="G27" i="15"/>
  <c r="I27" i="15" s="1"/>
  <c r="D27" i="15"/>
  <c r="H26" i="15"/>
  <c r="G26" i="15"/>
  <c r="I26" i="15" s="1"/>
  <c r="D26" i="15"/>
  <c r="H25" i="15"/>
  <c r="G25" i="15"/>
  <c r="I25" i="15" s="1"/>
  <c r="D25" i="15"/>
  <c r="H24" i="15"/>
  <c r="G24" i="15"/>
  <c r="I24" i="15" s="1"/>
  <c r="D24" i="15"/>
  <c r="H23" i="15"/>
  <c r="G23" i="15"/>
  <c r="I23" i="15" s="1"/>
  <c r="D23" i="15"/>
  <c r="H22" i="15"/>
  <c r="G22" i="15"/>
  <c r="I22" i="15" s="1"/>
  <c r="D22" i="15"/>
  <c r="H21" i="15"/>
  <c r="G21" i="15"/>
  <c r="I21" i="15" s="1"/>
  <c r="D21" i="15"/>
  <c r="H20" i="15"/>
  <c r="G20" i="15"/>
  <c r="I20" i="15" s="1"/>
  <c r="D20" i="15"/>
  <c r="H19" i="15"/>
  <c r="G19" i="15"/>
  <c r="I19" i="15" s="1"/>
  <c r="D19" i="15"/>
  <c r="H18" i="15"/>
  <c r="G18" i="15"/>
  <c r="I18" i="15" s="1"/>
  <c r="D18" i="15"/>
  <c r="H17" i="15"/>
  <c r="G17" i="15"/>
  <c r="I17" i="15" s="1"/>
  <c r="D17" i="15"/>
  <c r="H16" i="15"/>
  <c r="G16" i="15"/>
  <c r="I16" i="15" s="1"/>
  <c r="D16" i="15"/>
  <c r="H15" i="15"/>
  <c r="G15" i="15"/>
  <c r="I15" i="15" s="1"/>
  <c r="D15" i="15"/>
  <c r="H14" i="15"/>
  <c r="G14" i="15"/>
  <c r="I14" i="15" s="1"/>
  <c r="D14" i="15"/>
  <c r="H13" i="15"/>
  <c r="G13" i="15"/>
  <c r="I13" i="15" s="1"/>
  <c r="D13" i="15"/>
  <c r="H12" i="15"/>
  <c r="G12" i="15"/>
  <c r="I12" i="15" s="1"/>
  <c r="D12" i="15"/>
  <c r="H11" i="15"/>
  <c r="G11" i="15"/>
  <c r="I11" i="15" s="1"/>
  <c r="D11" i="15"/>
  <c r="H10" i="15"/>
  <c r="G10" i="15"/>
  <c r="I10" i="15" s="1"/>
  <c r="D10" i="15"/>
  <c r="H9" i="15"/>
  <c r="G9" i="15"/>
  <c r="I9" i="15" s="1"/>
  <c r="D9" i="15"/>
  <c r="H8" i="15"/>
  <c r="G8" i="15"/>
  <c r="I8" i="15" s="1"/>
  <c r="D8" i="15"/>
  <c r="H7" i="15"/>
  <c r="G7" i="15"/>
  <c r="I7" i="15" s="1"/>
  <c r="D7" i="15"/>
  <c r="H6" i="15"/>
  <c r="G6" i="15"/>
  <c r="I6" i="15" s="1"/>
  <c r="D6" i="15"/>
  <c r="H5" i="15"/>
  <c r="G5" i="15"/>
  <c r="I5" i="15" s="1"/>
  <c r="D5" i="15"/>
  <c r="G5" i="14"/>
  <c r="D66" i="14"/>
  <c r="D65" i="14"/>
  <c r="D64" i="14"/>
  <c r="D63" i="14"/>
  <c r="D62" i="14"/>
  <c r="D61" i="14"/>
  <c r="D60" i="14"/>
  <c r="D59" i="14"/>
  <c r="D58" i="14"/>
  <c r="D57" i="14"/>
  <c r="D56" i="14"/>
  <c r="D55" i="14"/>
  <c r="D54" i="14"/>
  <c r="D53" i="14"/>
  <c r="D52" i="14"/>
  <c r="D51" i="14"/>
  <c r="D50" i="14"/>
  <c r="D49" i="14"/>
  <c r="D48" i="14"/>
  <c r="D47" i="14"/>
  <c r="D46" i="14"/>
  <c r="D45" i="14"/>
  <c r="D44" i="14"/>
  <c r="D43" i="14"/>
  <c r="D42" i="14"/>
  <c r="D41" i="14"/>
  <c r="D40" i="14"/>
  <c r="D39" i="14"/>
  <c r="D38" i="14"/>
  <c r="D37" i="14"/>
  <c r="D36" i="14"/>
  <c r="D35" i="14"/>
  <c r="D34" i="14"/>
  <c r="D33" i="14"/>
  <c r="D32" i="14"/>
  <c r="D31" i="14"/>
  <c r="D30" i="14"/>
  <c r="D29" i="14"/>
  <c r="D28" i="14"/>
  <c r="D27" i="14"/>
  <c r="D26" i="14"/>
  <c r="D25" i="14"/>
  <c r="D24" i="14"/>
  <c r="D23" i="14"/>
  <c r="D22" i="14"/>
  <c r="D21" i="14"/>
  <c r="D20" i="14"/>
  <c r="D19" i="14"/>
  <c r="D18" i="14"/>
  <c r="D17" i="14"/>
  <c r="D16" i="14"/>
  <c r="D15" i="14"/>
  <c r="D14" i="14"/>
  <c r="D13" i="14"/>
  <c r="D12" i="14"/>
  <c r="D11" i="14"/>
  <c r="D10" i="14"/>
  <c r="D9" i="14"/>
  <c r="D8" i="14"/>
  <c r="D7" i="14"/>
  <c r="D6" i="14"/>
  <c r="D5" i="14"/>
  <c r="I61" i="15"/>
  <c r="I56" i="15"/>
  <c r="I57" i="15"/>
  <c r="I52" i="15"/>
  <c r="I53" i="15"/>
  <c r="I46" i="15"/>
  <c r="I47" i="15"/>
  <c r="I58" i="15"/>
  <c r="I64" i="15"/>
  <c r="I63" i="15"/>
  <c r="I55" i="15"/>
  <c r="I50" i="15"/>
  <c r="I66" i="15"/>
  <c r="G66" i="14"/>
  <c r="F66" i="14"/>
  <c r="H66" i="14" s="1"/>
  <c r="G65" i="14"/>
  <c r="F65" i="14"/>
  <c r="H65" i="14" s="1"/>
  <c r="G64" i="14"/>
  <c r="F64" i="14"/>
  <c r="H64" i="14" s="1"/>
  <c r="G63" i="14"/>
  <c r="F63" i="14"/>
  <c r="H63" i="14" s="1"/>
  <c r="G62" i="14"/>
  <c r="F62" i="14"/>
  <c r="H62" i="14" s="1"/>
  <c r="G61" i="14"/>
  <c r="F61" i="14"/>
  <c r="H61" i="14" s="1"/>
  <c r="G60" i="14"/>
  <c r="F60" i="14"/>
  <c r="H60" i="14" s="1"/>
  <c r="G59" i="14"/>
  <c r="F59" i="14"/>
  <c r="H59" i="14" s="1"/>
  <c r="G58" i="14"/>
  <c r="F58" i="14"/>
  <c r="H58" i="14" s="1"/>
  <c r="G57" i="14"/>
  <c r="F57" i="14"/>
  <c r="H57" i="14" s="1"/>
  <c r="G56" i="14"/>
  <c r="F56" i="14"/>
  <c r="H56" i="14" s="1"/>
  <c r="G55" i="14"/>
  <c r="F55" i="14"/>
  <c r="H55" i="14" s="1"/>
  <c r="G54" i="14"/>
  <c r="F54" i="14"/>
  <c r="H54" i="14" s="1"/>
  <c r="G53" i="14"/>
  <c r="F53" i="14"/>
  <c r="H53" i="14" s="1"/>
  <c r="G52" i="14"/>
  <c r="F52" i="14"/>
  <c r="H52" i="14" s="1"/>
  <c r="G51" i="14"/>
  <c r="F51" i="14"/>
  <c r="H51" i="14" s="1"/>
  <c r="G50" i="14"/>
  <c r="F50" i="14"/>
  <c r="H50" i="14" s="1"/>
  <c r="G49" i="14"/>
  <c r="F49" i="14"/>
  <c r="H49" i="14" s="1"/>
  <c r="G48" i="14"/>
  <c r="F48" i="14"/>
  <c r="H48" i="14" s="1"/>
  <c r="G47" i="14"/>
  <c r="F47" i="14"/>
  <c r="H47" i="14" s="1"/>
  <c r="G46" i="14"/>
  <c r="F46" i="14"/>
  <c r="H46" i="14" s="1"/>
  <c r="G45" i="14"/>
  <c r="F45" i="14"/>
  <c r="H45" i="14" s="1"/>
  <c r="G44" i="14"/>
  <c r="F44" i="14"/>
  <c r="H44" i="14" s="1"/>
  <c r="G43" i="14"/>
  <c r="F43" i="14"/>
  <c r="H43" i="14" s="1"/>
  <c r="G42" i="14"/>
  <c r="F42" i="14"/>
  <c r="H42" i="14" s="1"/>
  <c r="G41" i="14"/>
  <c r="F41" i="14"/>
  <c r="H41" i="14" s="1"/>
  <c r="G40" i="14"/>
  <c r="F40" i="14"/>
  <c r="H40" i="14" s="1"/>
  <c r="G39" i="14"/>
  <c r="F39" i="14"/>
  <c r="H39" i="14" s="1"/>
  <c r="G38" i="14"/>
  <c r="F38" i="14"/>
  <c r="H38" i="14" s="1"/>
  <c r="G37" i="14"/>
  <c r="F37" i="14"/>
  <c r="H37" i="14" s="1"/>
  <c r="G36" i="14"/>
  <c r="F36" i="14"/>
  <c r="H36" i="14" s="1"/>
  <c r="G35" i="14"/>
  <c r="F35" i="14"/>
  <c r="H35" i="14" s="1"/>
  <c r="G34" i="14"/>
  <c r="F34" i="14"/>
  <c r="H34" i="14" s="1"/>
  <c r="G33" i="14"/>
  <c r="F33" i="14"/>
  <c r="H33" i="14" s="1"/>
  <c r="G32" i="14"/>
  <c r="F32" i="14"/>
  <c r="H32" i="14" s="1"/>
  <c r="G31" i="14"/>
  <c r="F31" i="14"/>
  <c r="H31" i="14" s="1"/>
  <c r="G30" i="14"/>
  <c r="F30" i="14"/>
  <c r="H30" i="14" s="1"/>
  <c r="G29" i="14"/>
  <c r="F29" i="14"/>
  <c r="H29" i="14" s="1"/>
  <c r="G28" i="14"/>
  <c r="F28" i="14"/>
  <c r="H28" i="14" s="1"/>
  <c r="G27" i="14"/>
  <c r="F27" i="14"/>
  <c r="H27" i="14" s="1"/>
  <c r="G26" i="14"/>
  <c r="F26" i="14"/>
  <c r="H26" i="14" s="1"/>
  <c r="G25" i="14"/>
  <c r="F25" i="14"/>
  <c r="H25" i="14" s="1"/>
  <c r="G24" i="14"/>
  <c r="F24" i="14"/>
  <c r="H24" i="14" s="1"/>
  <c r="G23" i="14"/>
  <c r="F23" i="14"/>
  <c r="H23" i="14" s="1"/>
  <c r="G22" i="14"/>
  <c r="F22" i="14"/>
  <c r="H22" i="14" s="1"/>
  <c r="G21" i="14"/>
  <c r="F21" i="14"/>
  <c r="H21" i="14" s="1"/>
  <c r="G20" i="14"/>
  <c r="F20" i="14"/>
  <c r="H20" i="14" s="1"/>
  <c r="G19" i="14"/>
  <c r="F19" i="14"/>
  <c r="H19" i="14" s="1"/>
  <c r="G18" i="14"/>
  <c r="F18" i="14"/>
  <c r="H18" i="14" s="1"/>
  <c r="G17" i="14"/>
  <c r="F17" i="14"/>
  <c r="H17" i="14" s="1"/>
  <c r="G16" i="14"/>
  <c r="F16" i="14"/>
  <c r="H16" i="14" s="1"/>
  <c r="G15" i="14"/>
  <c r="F15" i="14"/>
  <c r="H15" i="14" s="1"/>
  <c r="G14" i="14"/>
  <c r="F14" i="14"/>
  <c r="H14" i="14" s="1"/>
  <c r="G13" i="14"/>
  <c r="F13" i="14"/>
  <c r="H13" i="14" s="1"/>
  <c r="G12" i="14"/>
  <c r="F12" i="14"/>
  <c r="H12" i="14" s="1"/>
  <c r="G11" i="14"/>
  <c r="F11" i="14"/>
  <c r="H11" i="14" s="1"/>
  <c r="G10" i="14"/>
  <c r="F10" i="14"/>
  <c r="H10" i="14" s="1"/>
  <c r="G9" i="14"/>
  <c r="F9" i="14"/>
  <c r="H9" i="14" s="1"/>
  <c r="G8" i="14"/>
  <c r="F8" i="14"/>
  <c r="H8" i="14" s="1"/>
  <c r="G7" i="14"/>
  <c r="F7" i="14"/>
  <c r="H7" i="14" s="1"/>
  <c r="G6" i="14"/>
  <c r="F6" i="14"/>
  <c r="H6" i="14" s="1"/>
  <c r="F5" i="14"/>
  <c r="H5" i="14" s="1"/>
  <c r="G66" i="10"/>
  <c r="L66" i="10" s="1"/>
  <c r="G65" i="10"/>
  <c r="G64" i="10"/>
  <c r="G63" i="10"/>
  <c r="L63" i="10" s="1"/>
  <c r="G62" i="10"/>
  <c r="G61" i="10"/>
  <c r="G60" i="10"/>
  <c r="L60" i="10" s="1"/>
  <c r="G59" i="10"/>
  <c r="G58" i="10"/>
  <c r="G57" i="10"/>
  <c r="G56" i="10"/>
  <c r="G55" i="10"/>
  <c r="G54" i="10"/>
  <c r="L54" i="10" s="1"/>
  <c r="G53" i="10"/>
  <c r="L53" i="10" s="1"/>
  <c r="G52" i="10"/>
  <c r="L52" i="10" s="1"/>
  <c r="G51" i="10"/>
  <c r="L51" i="10" s="1"/>
  <c r="G50" i="10"/>
  <c r="L50" i="10" s="1"/>
  <c r="G49" i="10"/>
  <c r="L49" i="10" s="1"/>
  <c r="G48" i="10"/>
  <c r="G47" i="10"/>
  <c r="L47" i="10" s="1"/>
  <c r="G46" i="10"/>
  <c r="G45" i="10"/>
  <c r="L45" i="10" s="1"/>
  <c r="G44" i="10"/>
  <c r="G43" i="10"/>
  <c r="G42" i="10"/>
  <c r="G41" i="10"/>
  <c r="L41" i="10" s="1"/>
  <c r="G40" i="10"/>
  <c r="G39" i="10"/>
  <c r="G38" i="10"/>
  <c r="L38" i="10" s="1"/>
  <c r="G37" i="10"/>
  <c r="G36" i="10"/>
  <c r="G35" i="10"/>
  <c r="L35" i="10" s="1"/>
  <c r="G34" i="10"/>
  <c r="L34" i="10" s="1"/>
  <c r="G33" i="10"/>
  <c r="L33" i="10" s="1"/>
  <c r="G32" i="10"/>
  <c r="G31" i="10"/>
  <c r="L31" i="10" s="1"/>
  <c r="G30" i="10"/>
  <c r="G29" i="10"/>
  <c r="G28" i="10"/>
  <c r="G27" i="10"/>
  <c r="L27" i="10" s="1"/>
  <c r="G26" i="10"/>
  <c r="L26" i="10" s="1"/>
  <c r="G25" i="10"/>
  <c r="G24" i="10"/>
  <c r="L24" i="10" s="1"/>
  <c r="G23" i="10"/>
  <c r="G22" i="10"/>
  <c r="G21" i="10"/>
  <c r="L21" i="10" s="1"/>
  <c r="G20" i="10"/>
  <c r="G19" i="10"/>
  <c r="L19" i="10" s="1"/>
  <c r="G18" i="10"/>
  <c r="G17" i="10"/>
  <c r="G16" i="10"/>
  <c r="G15" i="10"/>
  <c r="G14" i="10"/>
  <c r="L14" i="10" s="1"/>
  <c r="G13" i="10"/>
  <c r="L13" i="10" s="1"/>
  <c r="G12" i="10"/>
  <c r="L12" i="10" s="1"/>
  <c r="G11" i="10"/>
  <c r="L11" i="10" s="1"/>
  <c r="G10" i="10"/>
  <c r="L10" i="10" s="1"/>
  <c r="G9" i="10"/>
  <c r="L9" i="10" s="1"/>
  <c r="G8" i="10"/>
  <c r="L8" i="10" s="1"/>
  <c r="G7" i="10"/>
  <c r="G6" i="10"/>
  <c r="G5" i="10"/>
  <c r="F11" i="10"/>
  <c r="K11" i="10" s="1"/>
  <c r="B10" i="63" s="1"/>
  <c r="F12" i="10"/>
  <c r="F13" i="10"/>
  <c r="M13" i="10" s="1"/>
  <c r="F14" i="10"/>
  <c r="M14" i="10" s="1"/>
  <c r="F15" i="10"/>
  <c r="K15" i="10" s="1"/>
  <c r="F16" i="10"/>
  <c r="K16" i="10" s="1"/>
  <c r="F17" i="10"/>
  <c r="K17" i="10" s="1"/>
  <c r="F18" i="10"/>
  <c r="K18" i="10" s="1"/>
  <c r="F19" i="10"/>
  <c r="K19" i="10" s="1"/>
  <c r="F20" i="10"/>
  <c r="K20" i="10" s="1"/>
  <c r="F21" i="10"/>
  <c r="K21" i="10" s="1"/>
  <c r="F22" i="10"/>
  <c r="K22" i="10" s="1"/>
  <c r="F23" i="10"/>
  <c r="K23" i="10" s="1"/>
  <c r="F24" i="10"/>
  <c r="K24" i="10" s="1"/>
  <c r="F25" i="10"/>
  <c r="K25" i="10" s="1"/>
  <c r="F26" i="10"/>
  <c r="M26" i="10" s="1"/>
  <c r="F27" i="10"/>
  <c r="K27" i="10" s="1"/>
  <c r="F28" i="10"/>
  <c r="K28" i="10" s="1"/>
  <c r="F29" i="10"/>
  <c r="K29" i="10" s="1"/>
  <c r="F30" i="10"/>
  <c r="K30" i="10" s="1"/>
  <c r="F31" i="10"/>
  <c r="K31" i="10" s="1"/>
  <c r="F32" i="10"/>
  <c r="K32" i="10" s="1"/>
  <c r="B27" i="63" s="1"/>
  <c r="F33" i="10"/>
  <c r="K33" i="10" s="1"/>
  <c r="F34" i="10"/>
  <c r="K34" i="10" s="1"/>
  <c r="F35" i="10"/>
  <c r="K35" i="10" s="1"/>
  <c r="B30" i="63" s="1"/>
  <c r="F36" i="10"/>
  <c r="K36" i="10" s="1"/>
  <c r="B31" i="63" s="1"/>
  <c r="F37" i="10"/>
  <c r="K37" i="10" s="1"/>
  <c r="B32" i="63" s="1"/>
  <c r="F38" i="10"/>
  <c r="F39" i="10"/>
  <c r="K39" i="10" s="1"/>
  <c r="F40" i="10"/>
  <c r="K40" i="10" s="1"/>
  <c r="F41" i="10"/>
  <c r="F42" i="10"/>
  <c r="K42" i="10" s="1"/>
  <c r="F43" i="10"/>
  <c r="K43" i="10" s="1"/>
  <c r="F44" i="10"/>
  <c r="K44" i="10" s="1"/>
  <c r="B38" i="63" s="1"/>
  <c r="F45" i="10"/>
  <c r="K45" i="10" s="1"/>
  <c r="F46" i="10"/>
  <c r="K46" i="10" s="1"/>
  <c r="F47" i="10"/>
  <c r="F48" i="10"/>
  <c r="K48" i="10" s="1"/>
  <c r="F49" i="10"/>
  <c r="K49" i="10" s="1"/>
  <c r="B42" i="63" s="1"/>
  <c r="F50" i="10"/>
  <c r="K50" i="10" s="1"/>
  <c r="F51" i="10"/>
  <c r="K51" i="10" s="1"/>
  <c r="F52" i="10"/>
  <c r="F53" i="10"/>
  <c r="F54" i="10"/>
  <c r="F55" i="10"/>
  <c r="K55" i="10" s="1"/>
  <c r="F56" i="10"/>
  <c r="K56" i="10" s="1"/>
  <c r="F57" i="10"/>
  <c r="K57" i="10" s="1"/>
  <c r="F58" i="10"/>
  <c r="K58" i="10" s="1"/>
  <c r="F59" i="10"/>
  <c r="K59" i="10" s="1"/>
  <c r="F60" i="10"/>
  <c r="K60" i="10" s="1"/>
  <c r="B51" i="63" s="1"/>
  <c r="F61" i="10"/>
  <c r="K61" i="10" s="1"/>
  <c r="B52" i="63" s="1"/>
  <c r="F62" i="10"/>
  <c r="K62" i="10" s="1"/>
  <c r="B53" i="63" s="1"/>
  <c r="F63" i="10"/>
  <c r="K63" i="10" s="1"/>
  <c r="F64" i="10"/>
  <c r="K64" i="10" s="1"/>
  <c r="B54" i="63" s="1"/>
  <c r="F65" i="10"/>
  <c r="K65" i="10" s="1"/>
  <c r="F66" i="10"/>
  <c r="M66" i="10" s="1"/>
  <c r="F10" i="10"/>
  <c r="K10" i="10" s="1"/>
  <c r="F9" i="10"/>
  <c r="K9" i="10" s="1"/>
  <c r="F8" i="10"/>
  <c r="K8" i="10" s="1"/>
  <c r="B7" i="63" s="1"/>
  <c r="F7" i="10"/>
  <c r="K7" i="10" s="1"/>
  <c r="F6" i="10"/>
  <c r="K6" i="10" s="1"/>
  <c r="F5" i="10"/>
  <c r="K5" i="10" s="1"/>
  <c r="H66" i="10"/>
  <c r="H65" i="10"/>
  <c r="H64" i="10"/>
  <c r="H63" i="10"/>
  <c r="H62" i="10"/>
  <c r="H61" i="10"/>
  <c r="H6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5" i="10"/>
  <c r="H14" i="10"/>
  <c r="H13" i="10"/>
  <c r="H12" i="10"/>
  <c r="H11" i="10"/>
  <c r="H10" i="10"/>
  <c r="H9" i="10"/>
  <c r="H8" i="10"/>
  <c r="H7" i="10"/>
  <c r="H6" i="10"/>
  <c r="H5" i="10"/>
  <c r="G50" i="7"/>
  <c r="F50" i="7"/>
  <c r="E50" i="7"/>
  <c r="D50" i="7"/>
  <c r="C50" i="7"/>
  <c r="B50" i="7"/>
  <c r="G49" i="7"/>
  <c r="F49" i="7"/>
  <c r="E49" i="7"/>
  <c r="D49" i="7"/>
  <c r="C49" i="7"/>
  <c r="B49" i="7"/>
  <c r="G48" i="7"/>
  <c r="F48" i="7"/>
  <c r="E48" i="7"/>
  <c r="D48" i="7"/>
  <c r="C48" i="7"/>
  <c r="B48" i="7"/>
  <c r="G47" i="7"/>
  <c r="F47" i="7"/>
  <c r="E47" i="7"/>
  <c r="D47" i="7"/>
  <c r="C47" i="7"/>
  <c r="B47" i="7"/>
  <c r="G46" i="7"/>
  <c r="F46" i="7"/>
  <c r="E46" i="7"/>
  <c r="D46" i="7"/>
  <c r="C46" i="7"/>
  <c r="B46" i="7"/>
  <c r="G45" i="7"/>
  <c r="F45" i="7"/>
  <c r="E45" i="7"/>
  <c r="D45" i="7"/>
  <c r="C45" i="7"/>
  <c r="B45" i="7"/>
  <c r="G39" i="7"/>
  <c r="F39" i="7"/>
  <c r="E39" i="7"/>
  <c r="D39" i="7"/>
  <c r="C39" i="7"/>
  <c r="B39" i="7"/>
  <c r="G38" i="7"/>
  <c r="F38" i="7"/>
  <c r="E38" i="7"/>
  <c r="D38" i="7"/>
  <c r="C38" i="7"/>
  <c r="B38" i="7"/>
  <c r="G37" i="7"/>
  <c r="F37" i="7"/>
  <c r="E37" i="7"/>
  <c r="D37" i="7"/>
  <c r="C37" i="7"/>
  <c r="B37" i="7"/>
  <c r="G36" i="7"/>
  <c r="F36" i="7"/>
  <c r="E36" i="7"/>
  <c r="D36" i="7"/>
  <c r="C36" i="7"/>
  <c r="B36" i="7"/>
  <c r="G35" i="7"/>
  <c r="F35" i="7"/>
  <c r="E35" i="7"/>
  <c r="D35" i="7"/>
  <c r="C35" i="7"/>
  <c r="B35" i="7"/>
  <c r="G34" i="7"/>
  <c r="F34" i="7"/>
  <c r="E34" i="7"/>
  <c r="D34" i="7"/>
  <c r="C34" i="7"/>
  <c r="B34" i="7"/>
  <c r="G33" i="7"/>
  <c r="F33" i="7"/>
  <c r="D33" i="7"/>
  <c r="C33" i="7"/>
  <c r="B33" i="7"/>
  <c r="G32" i="7"/>
  <c r="F32" i="7"/>
  <c r="E32" i="7"/>
  <c r="D32" i="7"/>
  <c r="C32" i="7"/>
  <c r="B32" i="7"/>
  <c r="G31" i="7"/>
  <c r="F31" i="7"/>
  <c r="E31" i="7"/>
  <c r="D31" i="7"/>
  <c r="C31" i="7"/>
  <c r="B31" i="7"/>
  <c r="G30" i="7"/>
  <c r="E30" i="7"/>
  <c r="D30" i="7"/>
  <c r="C30" i="7"/>
  <c r="B30" i="7"/>
  <c r="G29" i="7"/>
  <c r="E29" i="7"/>
  <c r="D29" i="7"/>
  <c r="C29" i="7"/>
  <c r="G28" i="7"/>
  <c r="E28" i="7"/>
  <c r="D28" i="7"/>
  <c r="C28" i="7"/>
  <c r="B28" i="7"/>
  <c r="G27" i="7"/>
  <c r="D27" i="7"/>
  <c r="C27" i="7"/>
  <c r="B27" i="7"/>
  <c r="G26" i="7"/>
  <c r="F26" i="7"/>
  <c r="E26" i="7"/>
  <c r="D26" i="7"/>
  <c r="C26" i="7"/>
  <c r="B26" i="7"/>
  <c r="G25" i="7"/>
  <c r="F25" i="7"/>
  <c r="E25" i="7"/>
  <c r="D25" i="7"/>
  <c r="C25" i="7"/>
  <c r="B25" i="7"/>
  <c r="E19" i="6"/>
  <c r="D19" i="6"/>
  <c r="E18" i="6"/>
  <c r="C18" i="6"/>
  <c r="C14" i="6"/>
  <c r="D14" i="6"/>
  <c r="E14" i="6"/>
  <c r="C15" i="6"/>
  <c r="D15" i="6"/>
  <c r="E15" i="6"/>
  <c r="C16" i="6"/>
  <c r="D16" i="6"/>
  <c r="E16" i="6"/>
  <c r="B19" i="4"/>
  <c r="B18" i="4"/>
  <c r="B17" i="4"/>
  <c r="B16" i="4"/>
  <c r="B15" i="4"/>
  <c r="B14" i="4"/>
  <c r="B13" i="4"/>
  <c r="B12" i="4"/>
  <c r="B11" i="4"/>
  <c r="B10" i="4"/>
  <c r="B9" i="4"/>
  <c r="B8" i="4"/>
  <c r="B7" i="4"/>
  <c r="B6" i="4"/>
  <c r="B5" i="4"/>
  <c r="P65" i="34" l="1"/>
  <c r="P51" i="34"/>
  <c r="P49" i="34"/>
  <c r="P33" i="34"/>
  <c r="P7" i="34"/>
  <c r="P64" i="34"/>
  <c r="G55" i="34"/>
  <c r="G8" i="34"/>
  <c r="G67" i="34"/>
  <c r="G23" i="34"/>
  <c r="M52" i="10"/>
  <c r="P67" i="34"/>
  <c r="B13" i="69"/>
  <c r="B14" i="69"/>
  <c r="B15" i="69"/>
  <c r="P40" i="34"/>
  <c r="M58" i="53"/>
  <c r="M64" i="53"/>
  <c r="L64" i="53"/>
  <c r="M57" i="53"/>
  <c r="L57" i="53"/>
  <c r="K56" i="53"/>
  <c r="C16" i="33" s="1"/>
  <c r="M56" i="53"/>
  <c r="L48" i="53"/>
  <c r="M48" i="53"/>
  <c r="L32" i="53"/>
  <c r="M32" i="53"/>
  <c r="K30" i="53"/>
  <c r="M30" i="53"/>
  <c r="M65" i="53"/>
  <c r="M52" i="53"/>
  <c r="M45" i="53"/>
  <c r="M44" i="53"/>
  <c r="M43" i="53"/>
  <c r="M34" i="53"/>
  <c r="M11" i="53"/>
  <c r="P19" i="34"/>
  <c r="P8" i="34"/>
  <c r="G56" i="34"/>
  <c r="G40" i="34"/>
  <c r="G24" i="34"/>
  <c r="M61" i="10"/>
  <c r="M50" i="10"/>
  <c r="M46" i="10"/>
  <c r="M33" i="10"/>
  <c r="M62" i="10"/>
  <c r="M34" i="10"/>
  <c r="M32" i="10"/>
  <c r="M5" i="10"/>
  <c r="M49" i="10"/>
  <c r="M35" i="10"/>
  <c r="M22" i="10"/>
  <c r="M19" i="10"/>
  <c r="M60" i="10"/>
  <c r="M48" i="10"/>
  <c r="M20" i="10"/>
  <c r="M14" i="53"/>
  <c r="M60" i="53"/>
  <c r="K60" i="53"/>
  <c r="C55" i="33" s="1"/>
  <c r="L53" i="53"/>
  <c r="M53" i="53"/>
  <c r="L47" i="53"/>
  <c r="M47" i="53"/>
  <c r="L42" i="53"/>
  <c r="M42" i="53"/>
  <c r="M41" i="53"/>
  <c r="L41" i="53"/>
  <c r="L39" i="53"/>
  <c r="M39" i="53"/>
  <c r="M38" i="53"/>
  <c r="L38" i="53"/>
  <c r="L37" i="53"/>
  <c r="M37" i="53"/>
  <c r="M33" i="53"/>
  <c r="L33" i="53"/>
  <c r="L29" i="53"/>
  <c r="M29" i="53"/>
  <c r="M28" i="53"/>
  <c r="K28" i="53"/>
  <c r="C12" i="33" s="1"/>
  <c r="M24" i="53"/>
  <c r="K24" i="53"/>
  <c r="C9" i="33" s="1"/>
  <c r="M23" i="53"/>
  <c r="L23" i="53"/>
  <c r="L21" i="53"/>
  <c r="M21" i="53"/>
  <c r="L20" i="53"/>
  <c r="M20" i="53"/>
  <c r="M19" i="53"/>
  <c r="L19" i="53"/>
  <c r="L17" i="53"/>
  <c r="M17" i="53"/>
  <c r="M15" i="53"/>
  <c r="L15" i="53"/>
  <c r="L12" i="53"/>
  <c r="M12" i="53"/>
  <c r="L9" i="53"/>
  <c r="M9" i="53"/>
  <c r="L8" i="53"/>
  <c r="M8" i="53"/>
  <c r="M7" i="53"/>
  <c r="L7" i="53"/>
  <c r="M6" i="53"/>
  <c r="K6" i="53"/>
  <c r="C48" i="33" s="1"/>
  <c r="L5" i="53"/>
  <c r="M5" i="53"/>
  <c r="M65" i="10"/>
  <c r="L65" i="10"/>
  <c r="L59" i="10"/>
  <c r="M59" i="10"/>
  <c r="L55" i="10"/>
  <c r="M55" i="10"/>
  <c r="L44" i="10"/>
  <c r="M44" i="10"/>
  <c r="L43" i="10"/>
  <c r="M43" i="10"/>
  <c r="M42" i="10"/>
  <c r="L42" i="10"/>
  <c r="L40" i="10"/>
  <c r="M40" i="10"/>
  <c r="L39" i="10"/>
  <c r="M39" i="10"/>
  <c r="L30" i="10"/>
  <c r="M30" i="10"/>
  <c r="L29" i="10"/>
  <c r="M29" i="10"/>
  <c r="M28" i="10"/>
  <c r="L28" i="10"/>
  <c r="L25" i="10"/>
  <c r="M25" i="10"/>
  <c r="L23" i="10"/>
  <c r="M23" i="10"/>
  <c r="M18" i="10"/>
  <c r="L18" i="10"/>
  <c r="L17" i="10"/>
  <c r="M17" i="10"/>
  <c r="L16" i="10"/>
  <c r="M16" i="10"/>
  <c r="L15" i="10"/>
  <c r="M15" i="10"/>
  <c r="L7" i="10"/>
  <c r="M7" i="10"/>
  <c r="L6" i="10"/>
  <c r="M6" i="10"/>
  <c r="M12" i="10"/>
  <c r="K12" i="10"/>
  <c r="B13" i="63"/>
  <c r="B13" i="31"/>
  <c r="B13" i="30"/>
  <c r="B13" i="32"/>
  <c r="B46" i="33"/>
  <c r="B14" i="63"/>
  <c r="B14" i="31"/>
  <c r="B14" i="30"/>
  <c r="B14" i="32"/>
  <c r="B44" i="33"/>
  <c r="B15" i="63"/>
  <c r="B15" i="30"/>
  <c r="B38" i="33"/>
  <c r="B15" i="32"/>
  <c r="B15" i="31"/>
  <c r="B16" i="63"/>
  <c r="B32" i="33"/>
  <c r="B16" i="30"/>
  <c r="B16" i="32"/>
  <c r="B16" i="31"/>
  <c r="B17" i="63"/>
  <c r="B43" i="33"/>
  <c r="B18" i="63"/>
  <c r="B18" i="31"/>
  <c r="B19" i="63"/>
  <c r="B7" i="33"/>
  <c r="B19" i="31"/>
  <c r="B19" i="32"/>
  <c r="B19" i="30"/>
  <c r="B20" i="63"/>
  <c r="B9" i="33"/>
  <c r="B21" i="63"/>
  <c r="B21" i="30"/>
  <c r="B21" i="31"/>
  <c r="B21" i="32"/>
  <c r="B19" i="33"/>
  <c r="B23" i="63"/>
  <c r="B23" i="30"/>
  <c r="B24" i="32"/>
  <c r="B24" i="30"/>
  <c r="B12" i="33"/>
  <c r="B24" i="31"/>
  <c r="B24" i="63"/>
  <c r="B25" i="30"/>
  <c r="B25" i="31"/>
  <c r="B25" i="63"/>
  <c r="B26" i="63"/>
  <c r="B26" i="30"/>
  <c r="B26" i="32"/>
  <c r="B41" i="33"/>
  <c r="B26" i="31"/>
  <c r="B28" i="63"/>
  <c r="B28" i="31"/>
  <c r="B28" i="32"/>
  <c r="B35" i="33"/>
  <c r="B28" i="30"/>
  <c r="B29" i="63"/>
  <c r="B29" i="32"/>
  <c r="B27" i="33"/>
  <c r="B29" i="31"/>
  <c r="M38" i="10"/>
  <c r="K38" i="10"/>
  <c r="B34" i="63"/>
  <c r="B34" i="32"/>
  <c r="B34" i="31"/>
  <c r="B36" i="63"/>
  <c r="B24" i="33"/>
  <c r="B36" i="30"/>
  <c r="B36" i="32"/>
  <c r="B36" i="31"/>
  <c r="B37" i="63"/>
  <c r="B37" i="30"/>
  <c r="B37" i="31"/>
  <c r="B23" i="33"/>
  <c r="B37" i="32"/>
  <c r="B39" i="63"/>
  <c r="B39" i="32"/>
  <c r="B39" i="31"/>
  <c r="M47" i="10"/>
  <c r="K47" i="10"/>
  <c r="B41" i="63"/>
  <c r="B41" i="32"/>
  <c r="B31" i="33"/>
  <c r="B22" i="33"/>
  <c r="B43" i="32"/>
  <c r="B43" i="63"/>
  <c r="M53" i="10"/>
  <c r="K53" i="10"/>
  <c r="M54" i="10"/>
  <c r="K54" i="10"/>
  <c r="B47" i="31"/>
  <c r="B47" i="63"/>
  <c r="B48" i="63"/>
  <c r="B48" i="30"/>
  <c r="B48" i="31"/>
  <c r="B16" i="33"/>
  <c r="B48" i="32"/>
  <c r="B49" i="63"/>
  <c r="B25" i="33"/>
  <c r="B49" i="31"/>
  <c r="B49" i="30"/>
  <c r="B49" i="32"/>
  <c r="B50" i="63"/>
  <c r="B50" i="31"/>
  <c r="B50" i="32"/>
  <c r="B55" i="63"/>
  <c r="B55" i="30"/>
  <c r="B47" i="33"/>
  <c r="B9" i="63"/>
  <c r="B8" i="32"/>
  <c r="B8" i="63"/>
  <c r="B6" i="63"/>
  <c r="B6" i="30"/>
  <c r="B6" i="31"/>
  <c r="B54" i="33"/>
  <c r="B6" i="32"/>
  <c r="B5" i="30"/>
  <c r="B5" i="32"/>
  <c r="B48" i="33"/>
  <c r="B5" i="63"/>
  <c r="P57" i="34"/>
  <c r="P9" i="34"/>
  <c r="P10" i="34"/>
  <c r="P58" i="34"/>
  <c r="P15" i="34"/>
  <c r="P17" i="34"/>
  <c r="P18" i="34"/>
  <c r="P34" i="34"/>
  <c r="P50" i="34"/>
  <c r="P66" i="34"/>
  <c r="P54" i="34"/>
  <c r="P55" i="34"/>
  <c r="P35" i="34"/>
  <c r="P20" i="34"/>
  <c r="P36" i="34"/>
  <c r="P52" i="34"/>
  <c r="P21" i="34"/>
  <c r="P53" i="34"/>
  <c r="P22" i="34"/>
  <c r="P38" i="34"/>
  <c r="P23" i="34"/>
  <c r="P39" i="34"/>
  <c r="G18" i="34"/>
  <c r="G34" i="34"/>
  <c r="G50" i="34"/>
  <c r="G66" i="34"/>
  <c r="G19" i="34"/>
  <c r="G35" i="34"/>
  <c r="G51" i="34"/>
  <c r="G20" i="34"/>
  <c r="G6" i="34"/>
  <c r="G29" i="34"/>
  <c r="G45" i="34"/>
  <c r="G61" i="34"/>
  <c r="G9" i="34"/>
  <c r="G10" i="34"/>
  <c r="G26" i="34"/>
  <c r="G42" i="34"/>
  <c r="G58" i="34"/>
  <c r="G59" i="34"/>
  <c r="G13" i="34"/>
  <c r="G11" i="34"/>
  <c r="G27" i="34"/>
  <c r="G43" i="34"/>
  <c r="G28" i="34"/>
  <c r="G44" i="34"/>
  <c r="G60" i="34"/>
  <c r="P47" i="34"/>
  <c r="P31" i="34"/>
  <c r="P24" i="34"/>
  <c r="P37" i="34"/>
  <c r="P59" i="34"/>
  <c r="P63" i="34"/>
  <c r="P6" i="34"/>
  <c r="P12" i="34"/>
  <c r="P28" i="34"/>
  <c r="P44" i="34"/>
  <c r="M12" i="49"/>
  <c r="D7" i="49"/>
  <c r="M13" i="49"/>
  <c r="D13" i="49"/>
  <c r="K11" i="49"/>
  <c r="M11" i="49" s="1"/>
  <c r="D8" i="49"/>
  <c r="B10" i="32"/>
  <c r="B10" i="31"/>
  <c r="B40" i="33"/>
  <c r="B10" i="30"/>
  <c r="B31" i="30"/>
  <c r="B31" i="31"/>
  <c r="B20" i="33"/>
  <c r="B31" i="32"/>
  <c r="B52" i="30"/>
  <c r="B52" i="31"/>
  <c r="B45" i="33"/>
  <c r="B52" i="32"/>
  <c r="B54" i="30"/>
  <c r="B54" i="31"/>
  <c r="B54" i="32"/>
  <c r="B5" i="33"/>
  <c r="B32" i="30"/>
  <c r="B32" i="31"/>
  <c r="B8" i="33"/>
  <c r="B32" i="32"/>
  <c r="B51" i="32"/>
  <c r="B51" i="30"/>
  <c r="B51" i="31"/>
  <c r="B55" i="33"/>
  <c r="B7" i="30"/>
  <c r="B7" i="32"/>
  <c r="B7" i="31"/>
  <c r="B51" i="33"/>
  <c r="L16" i="53"/>
  <c r="M16" i="53"/>
  <c r="K26" i="10"/>
  <c r="B22" i="63" s="1"/>
  <c r="N13" i="55"/>
  <c r="L8" i="54" s="1"/>
  <c r="M50" i="53"/>
  <c r="M27" i="53"/>
  <c r="B39" i="33"/>
  <c r="B53" i="31"/>
  <c r="B53" i="32"/>
  <c r="B17" i="30"/>
  <c r="B17" i="31"/>
  <c r="L46" i="10"/>
  <c r="B42" i="33"/>
  <c r="M10" i="10"/>
  <c r="B49" i="33"/>
  <c r="B30" i="31"/>
  <c r="M37" i="10"/>
  <c r="L50" i="53"/>
  <c r="B50" i="30"/>
  <c r="B14" i="33"/>
  <c r="M27" i="10"/>
  <c r="L22" i="10"/>
  <c r="B55" i="32"/>
  <c r="M24" i="10"/>
  <c r="P43" i="34"/>
  <c r="P60" i="34"/>
  <c r="M63" i="53"/>
  <c r="M46" i="53"/>
  <c r="I5" i="58"/>
  <c r="K14" i="10"/>
  <c r="B12" i="63" s="1"/>
  <c r="B27" i="31"/>
  <c r="B27" i="30"/>
  <c r="M40" i="53"/>
  <c r="K13" i="10"/>
  <c r="B11" i="63" s="1"/>
  <c r="B39" i="30"/>
  <c r="L36" i="10"/>
  <c r="M36" i="10"/>
  <c r="L18" i="53"/>
  <c r="M18" i="53"/>
  <c r="M11" i="10"/>
  <c r="K66" i="10"/>
  <c r="M49" i="53"/>
  <c r="L58" i="10"/>
  <c r="M58" i="10"/>
  <c r="L54" i="53"/>
  <c r="M54" i="53"/>
  <c r="L5" i="10"/>
  <c r="L31" i="53"/>
  <c r="M31" i="53"/>
  <c r="L55" i="53"/>
  <c r="M55" i="53"/>
  <c r="M59" i="53"/>
  <c r="L22" i="53"/>
  <c r="M22" i="53"/>
  <c r="B43" i="30"/>
  <c r="O23" i="42"/>
  <c r="O24" i="42"/>
  <c r="O7" i="54" s="1"/>
  <c r="B38" i="32"/>
  <c r="B18" i="33"/>
  <c r="B38" i="31"/>
  <c r="B38" i="30"/>
  <c r="B29" i="30"/>
  <c r="B53" i="33"/>
  <c r="G14" i="34"/>
  <c r="G30" i="34"/>
  <c r="G46" i="34"/>
  <c r="G62" i="34"/>
  <c r="P11" i="34"/>
  <c r="P29" i="34"/>
  <c r="P46" i="34"/>
  <c r="P25" i="42"/>
  <c r="P24" i="42"/>
  <c r="P7" i="54" s="1"/>
  <c r="H15" i="43"/>
  <c r="M13" i="53"/>
  <c r="M45" i="10"/>
  <c r="B42" i="31"/>
  <c r="B42" i="32"/>
  <c r="B37" i="33"/>
  <c r="L64" i="10"/>
  <c r="M64" i="10"/>
  <c r="L36" i="53"/>
  <c r="M36" i="53"/>
  <c r="L62" i="10"/>
  <c r="M8" i="10"/>
  <c r="B34" i="33"/>
  <c r="B17" i="32"/>
  <c r="B27" i="32"/>
  <c r="B55" i="31"/>
  <c r="B30" i="32"/>
  <c r="L48" i="10"/>
  <c r="M63" i="10"/>
  <c r="B30" i="30"/>
  <c r="B26" i="33"/>
  <c r="L61" i="10"/>
  <c r="M31" i="10"/>
  <c r="M9" i="10"/>
  <c r="L10" i="53"/>
  <c r="M10" i="53"/>
  <c r="B23" i="32"/>
  <c r="B10" i="33"/>
  <c r="B23" i="31"/>
  <c r="B8" i="30"/>
  <c r="B8" i="31"/>
  <c r="B9" i="30"/>
  <c r="B9" i="31"/>
  <c r="B9" i="32"/>
  <c r="B17" i="33"/>
  <c r="M21" i="10"/>
  <c r="K52" i="10"/>
  <c r="B44" i="63" s="1"/>
  <c r="L20" i="10"/>
  <c r="B6" i="33"/>
  <c r="B47" i="32"/>
  <c r="B47" i="30"/>
  <c r="M41" i="10"/>
  <c r="K41" i="10"/>
  <c r="B35" i="63" s="1"/>
  <c r="B25" i="32"/>
  <c r="B13" i="33"/>
  <c r="M56" i="10"/>
  <c r="L56" i="10"/>
  <c r="M35" i="53"/>
  <c r="L66" i="53"/>
  <c r="M66" i="53"/>
  <c r="R7" i="55"/>
  <c r="R13" i="55" s="1"/>
  <c r="P8" i="54" s="1"/>
  <c r="B20" i="30"/>
  <c r="B20" i="31"/>
  <c r="B20" i="32"/>
  <c r="B43" i="31"/>
  <c r="B41" i="30"/>
  <c r="B41" i="31"/>
  <c r="B34" i="30"/>
  <c r="B42" i="30"/>
  <c r="P61" i="34"/>
  <c r="M51" i="10"/>
  <c r="B33" i="33"/>
  <c r="B18" i="32"/>
  <c r="P45" i="34"/>
  <c r="B18" i="30"/>
  <c r="L32" i="10"/>
  <c r="B53" i="30"/>
  <c r="M57" i="10"/>
  <c r="L57" i="10"/>
  <c r="M24" i="42"/>
  <c r="M7" i="54" s="1"/>
  <c r="L25" i="53"/>
  <c r="M25" i="53"/>
  <c r="M62" i="53"/>
  <c r="L62" i="53"/>
  <c r="Q7" i="55"/>
  <c r="G63" i="34"/>
  <c r="M61" i="53"/>
  <c r="L37" i="10"/>
  <c r="G17" i="34"/>
  <c r="G33" i="34"/>
  <c r="G49" i="34"/>
  <c r="G65" i="34"/>
  <c r="T7" i="55"/>
  <c r="P16" i="34"/>
  <c r="M26" i="53"/>
  <c r="M51" i="53"/>
  <c r="G47" i="34"/>
  <c r="L24" i="42"/>
  <c r="L7" i="54" s="1"/>
  <c r="H14" i="43"/>
  <c r="G31" i="34"/>
  <c r="G16" i="34"/>
  <c r="G32" i="34"/>
  <c r="G64" i="34"/>
  <c r="P48" i="34"/>
  <c r="P7" i="55"/>
  <c r="N7" i="55"/>
  <c r="M7" i="55"/>
  <c r="M13" i="55" s="1"/>
  <c r="K8" i="54" s="1"/>
  <c r="P25" i="34"/>
  <c r="P41" i="34"/>
  <c r="P56" i="34"/>
  <c r="P26" i="34"/>
  <c r="P42" i="34"/>
  <c r="P27" i="34"/>
  <c r="P13" i="34"/>
  <c r="P14" i="34"/>
  <c r="P30" i="34"/>
  <c r="P62" i="34"/>
  <c r="P32" i="34"/>
  <c r="G39" i="34"/>
  <c r="G57" i="34"/>
  <c r="G12" i="34"/>
  <c r="G22" i="34"/>
  <c r="G54" i="34"/>
  <c r="G7" i="34"/>
  <c r="G38" i="34"/>
  <c r="G15" i="34"/>
  <c r="G48" i="34"/>
  <c r="G36" i="34"/>
  <c r="G52" i="34"/>
  <c r="G21" i="34"/>
  <c r="G53" i="34"/>
  <c r="G37" i="34"/>
  <c r="G25" i="34"/>
  <c r="G41" i="34"/>
  <c r="U23" i="62"/>
  <c r="O27" i="62"/>
  <c r="P23" i="62"/>
  <c r="Q23" i="62"/>
  <c r="R23" i="62"/>
  <c r="T23" i="62"/>
  <c r="O28" i="62"/>
  <c r="T12" i="55"/>
  <c r="T13" i="55"/>
  <c r="S13" i="55"/>
  <c r="Q8" i="54" s="1"/>
  <c r="S12" i="55"/>
  <c r="R12" i="55"/>
  <c r="Q13" i="55"/>
  <c r="O8" i="54" s="1"/>
  <c r="Q12" i="55"/>
  <c r="P12" i="55"/>
  <c r="P13" i="55"/>
  <c r="N8" i="54" s="1"/>
  <c r="O13" i="55"/>
  <c r="M8" i="54" s="1"/>
  <c r="O12" i="55"/>
  <c r="N12" i="55"/>
  <c r="U12" i="55"/>
  <c r="U13" i="55"/>
  <c r="M12" i="55"/>
  <c r="I12" i="55"/>
  <c r="J12" i="55"/>
  <c r="Q9" i="54"/>
  <c r="O9" i="54"/>
  <c r="L9" i="54"/>
  <c r="P9" i="54"/>
  <c r="K9" i="54"/>
  <c r="M9" i="54"/>
  <c r="N9" i="54"/>
  <c r="B33" i="63" l="1"/>
  <c r="B33" i="32"/>
  <c r="B40" i="63"/>
  <c r="B40" i="31"/>
  <c r="B45" i="63"/>
  <c r="B45" i="30"/>
  <c r="B45" i="31"/>
  <c r="B45" i="32"/>
  <c r="B15" i="33"/>
  <c r="B46" i="63"/>
  <c r="B46" i="32"/>
  <c r="B33" i="31"/>
  <c r="B29" i="33"/>
  <c r="B33" i="30"/>
  <c r="B40" i="32"/>
  <c r="B40" i="30"/>
  <c r="B28" i="33"/>
  <c r="B46" i="30"/>
  <c r="B46" i="31"/>
  <c r="B11" i="33"/>
  <c r="B21" i="33"/>
  <c r="B22" i="32"/>
  <c r="B22" i="31"/>
  <c r="B22" i="30"/>
  <c r="B52" i="33"/>
  <c r="B12" i="30"/>
  <c r="B12" i="32"/>
  <c r="B12" i="31"/>
  <c r="B11" i="31"/>
  <c r="B50" i="33"/>
  <c r="B11" i="30"/>
  <c r="B11" i="32"/>
  <c r="B35" i="31"/>
  <c r="B35" i="30"/>
  <c r="B35" i="32"/>
  <c r="B30" i="33"/>
  <c r="B44" i="30"/>
  <c r="B44" i="31"/>
  <c r="B44" i="32"/>
  <c r="B36" i="33"/>
</calcChain>
</file>

<file path=xl/sharedStrings.xml><?xml version="1.0" encoding="utf-8"?>
<sst xmlns="http://schemas.openxmlformats.org/spreadsheetml/2006/main" count="4207" uniqueCount="1205">
  <si>
    <t>Retail Electricity Price Trends and Drivers:</t>
  </si>
  <si>
    <t>2026 Data Update</t>
  </si>
  <si>
    <t xml:space="preserve">Ryan Wiser, Galen Barbose, Will Gorman, Eric O’Shaughnessy, Sydney Forrester, </t>
  </si>
  <si>
    <t>Paul Donohoo-Vallett, Peter Cappers, Jeffrey Deason</t>
  </si>
  <si>
    <t xml:space="preserve">Lawrence Berkeley National Laboratory </t>
  </si>
  <si>
    <t>Ryan Hledik, Long Lam</t>
  </si>
  <si>
    <t>The Brattle Group</t>
  </si>
  <si>
    <t>July 2026 - update</t>
  </si>
  <si>
    <t xml:space="preserve">For the additional details, historical reports, and interactive data visualization tools, see:
</t>
  </si>
  <si>
    <t>https://emp.lbl.gov/retail-electricity-price-trends-and-drivers</t>
  </si>
  <si>
    <t>Contact: Ryan Wiser (rhwiser@lbl.gov)</t>
  </si>
  <si>
    <t>Image source: OpenAI DALL-E</t>
  </si>
  <si>
    <t xml:space="preserve">Disclaimer </t>
  </si>
  <si>
    <t>This document was prepared as an account of work sponsored by the United States Government. While this document is believed to contain correct information, neither the United States Government nor any agency thereof, nor The Regents of the University of California, nor any of their employees, makes any warranty, express or implied, or assumes any legal responsibility for the accuracy, completeness, or usefulness of any information, apparatus, product, or process disclosed, or represents that its use would not infringe privately owned rights. Reference herein to any specific commercial product, process, or service by its trade name, trademark, manufacturer, or otherwise, does not necessarily constitute or imply its endorsement, recommendation, or favoring by the United States Government or any agency thereof, or The Regents of the University of California. The views and opinions of authors expressed herein do not necessarily state or reflect those of the United States Government or any agency thereof, or The Regents of the University of California.</t>
  </si>
  <si>
    <t xml:space="preserve">Ernest Orlando Lawrence Berkeley National Laboratory is an equal opportunity employer. </t>
  </si>
  <si>
    <t xml:space="preserve">Copyright Notice </t>
  </si>
  <si>
    <t>This dataset has been authored by an author at Lawrence Berkeley National Laboratory under Contract No. DE-AC02-05CH11231 with the U.S. Department of Energy. The U.S. Government retains, and the publisher, by accepting the article for publication, acknowledges, that the U.S. Government retains a non-exclusive, paid-up, irrevocable, worldwide license to publish or reproduce the published form of this dataset, or allow others to do so, for U.S. Government purposes.</t>
  </si>
  <si>
    <t>Tab Title</t>
  </si>
  <si>
    <t>Description</t>
  </si>
  <si>
    <t>Section</t>
  </si>
  <si>
    <t>July 2026: Update or New?</t>
  </si>
  <si>
    <t>Inflation adjustment</t>
  </si>
  <si>
    <t>BLS and other data used for inflation adjustment</t>
  </si>
  <si>
    <t>Methods</t>
  </si>
  <si>
    <t>National average retail price</t>
  </si>
  <si>
    <t>National all-sector average retail electricity price over time: nominal and real dollars</t>
  </si>
  <si>
    <t>Trends</t>
  </si>
  <si>
    <t>Average price trends by sector</t>
  </si>
  <si>
    <t>Change in national average retail prices over time, by sector</t>
  </si>
  <si>
    <t>Indexed household expenditures</t>
  </si>
  <si>
    <t>Residential electricity price changes relative to indices of other household expenses</t>
  </si>
  <si>
    <t>Residential bills: % expenditure &amp; income</t>
  </si>
  <si>
    <t>Average residential electricity bills as a percentage of average-annual total expenditures and income before taxes</t>
  </si>
  <si>
    <t>Updated</t>
  </si>
  <si>
    <t>Change in residential expenditures</t>
  </si>
  <si>
    <t>Nominal change in average annual expenditures between 2019 and 2025, by selected products</t>
  </si>
  <si>
    <t>New</t>
  </si>
  <si>
    <t>Electricity share of expenditure change by income</t>
  </si>
  <si>
    <t>Electricity's contribution to the change in average annual household expenditures from 2019 to 2025, by income bin</t>
  </si>
  <si>
    <t>State retail prices in 2025</t>
  </si>
  <si>
    <t>All-sector average state retail electricity prices in 2025</t>
  </si>
  <si>
    <t>Change in state retail prices</t>
  </si>
  <si>
    <t>Change in state-level, all-sector, inflation-adjusted retail electricity prices</t>
  </si>
  <si>
    <t>Change in state residential retail prices</t>
  </si>
  <si>
    <t>Change in state-level, residential retail electricity prices</t>
  </si>
  <si>
    <t>Residential prices in 2025</t>
  </si>
  <si>
    <t>Residential average state retail electricity prices in 2025</t>
  </si>
  <si>
    <t>Residential bills in 2025</t>
  </si>
  <si>
    <t>Residential average state retail electricity monthly bills in 2025, and changes in annual bills from 2019 to 2025</t>
  </si>
  <si>
    <t>State electricity burden</t>
  </si>
  <si>
    <t>Change in state-level average electricity bills as a fraction of median income from 2019 to 2025</t>
  </si>
  <si>
    <t>National electricity burden, by income</t>
  </si>
  <si>
    <t>Residential electricity bills as a fraction of income, by household income bracket</t>
  </si>
  <si>
    <t>Regional electricity burden, by income</t>
  </si>
  <si>
    <t>Change in residential electricity bills as a fraction of income by region and income bracket: 2019-2025</t>
  </si>
  <si>
    <t>Energy insecurity measures</t>
  </si>
  <si>
    <t>Measures of energy insecurity based on recent survey data</t>
  </si>
  <si>
    <t>Change in state prices: 2024-25</t>
  </si>
  <si>
    <t>Year-over-year percentage change in state-level, all-sector, inflation-adjusted retail electricity prices</t>
  </si>
  <si>
    <t>Drivers: 2024-2025</t>
  </si>
  <si>
    <t>Change in residential prices: 2024-25</t>
  </si>
  <si>
    <t>Year-over-year percentage change in state-level, residential, inflation-adjusted retail electricity prices</t>
  </si>
  <si>
    <t>Primary drivers of price change</t>
  </si>
  <si>
    <t>Primary drivers of state-level average price changes from 2024 to 2025</t>
  </si>
  <si>
    <t xml:space="preserve">Natural gas forecast &amp; actual </t>
  </si>
  <si>
    <t>Comparing 2010 EIA forecasts for natural gas prices and generation with actual 2025 outcomes</t>
  </si>
  <si>
    <t>National wholesale energy prices</t>
  </si>
  <si>
    <t>Load-weighted average wholesale energy prices over time compared to national natural gas and retail electricity prices</t>
  </si>
  <si>
    <t>Wholesale energy &amp; gas price change</t>
  </si>
  <si>
    <t>Year-over-year change in regional load-weighted average wholesale energy prices plus regional natural gas hub prices</t>
  </si>
  <si>
    <t>PJM capacity prices</t>
  </si>
  <si>
    <t xml:space="preserve">Impact of PJM capacity prices on wholesale costs </t>
  </si>
  <si>
    <t>IOU generation capital expenditure</t>
  </si>
  <si>
    <t xml:space="preserve">IOU generation-related capital expenditure, estimated by EEI </t>
  </si>
  <si>
    <t>IOU distribution costs</t>
  </si>
  <si>
    <t>Rough estimates of IOU distribution costs in multiple regions</t>
  </si>
  <si>
    <t>ISO-NE transmission costs</t>
  </si>
  <si>
    <t>Average annual impact of transmission costs on wholesale costs</t>
  </si>
  <si>
    <t>Distribution price estimates</t>
  </si>
  <si>
    <t>Rough estimates of impact of IOU distribution costs on average retail prices</t>
  </si>
  <si>
    <t>Medium-term relationships</t>
  </si>
  <si>
    <t>Transmission price estimates</t>
  </si>
  <si>
    <t>Average price impact of transmission costs in ISO regions</t>
  </si>
  <si>
    <t>Business operations cost estimates</t>
  </si>
  <si>
    <t>Rough estimates of IOU business operations costs in multiple regions</t>
  </si>
  <si>
    <t>IOU combined T, D, and Bus Ops costs</t>
  </si>
  <si>
    <t>Rough estimates of average price impact of IOU transmission, distribution, and business operations, in ISO regions</t>
  </si>
  <si>
    <t>Type of T&amp;D investment</t>
  </si>
  <si>
    <t>Type of T&amp;D investment as reported by investor-owned utilities</t>
  </si>
  <si>
    <t>T&amp;D equipment costs</t>
  </si>
  <si>
    <t>Price indices for various types of distribution and transmission equipment and services</t>
  </si>
  <si>
    <t>Storm recovery impacts</t>
  </si>
  <si>
    <t>Recent estimates of utility storm recovery price impacts</t>
  </si>
  <si>
    <t>Wildfire mitigation impacts</t>
  </si>
  <si>
    <t xml:space="preserve">Recent estimates of utility wildfire mitigation costs </t>
  </si>
  <si>
    <t>State RPS</t>
  </si>
  <si>
    <t>Estimates of compliance costs for state RPS programs (2025 cents/kWh of retail sales)</t>
  </si>
  <si>
    <t>Net energy metering</t>
  </si>
  <si>
    <t>State net metered solar penetration over time (% of retail electricity sales)</t>
  </si>
  <si>
    <t>Carbon cap-and-trade</t>
  </si>
  <si>
    <t>Impact of cap-and-trade / cap-and-invest on wholesale prices and natural gas costs</t>
  </si>
  <si>
    <t>Utility-scale wind and solar</t>
  </si>
  <si>
    <t xml:space="preserve">Relationship between growth in utility-scale wind and solar and retail price changes, with and without RPS </t>
  </si>
  <si>
    <t>Average gas share</t>
  </si>
  <si>
    <t>Relationship between average natural gas share and retail price changes</t>
  </si>
  <si>
    <t>Regional gas price fluctuations</t>
  </si>
  <si>
    <t>Relationship between regional natural gas, wholesale electricity, and retail electricity prices</t>
  </si>
  <si>
    <t>Average coal and nuclear share</t>
  </si>
  <si>
    <t>Relationship between average coal and nuclear share and retail price changes</t>
  </si>
  <si>
    <t>Thermal plant retirements</t>
  </si>
  <si>
    <t>Relationship between thermal plant retirements and retail price changes</t>
  </si>
  <si>
    <t>Capacity markets</t>
  </si>
  <si>
    <t>Impact of capacity markets on wholesale electricity prices</t>
  </si>
  <si>
    <t>Financing cost estimates</t>
  </si>
  <si>
    <t xml:space="preserve">Rough estimates of IOU interest+net income </t>
  </si>
  <si>
    <t>Supplier type relationship to retail prices</t>
  </si>
  <si>
    <t>Average residential prices for IOUs, POUs, and competitive retailers</t>
  </si>
  <si>
    <t>Growth in national retail sales</t>
  </si>
  <si>
    <t>Growth in national retail electricity sales, by sector</t>
  </si>
  <si>
    <t>Deep dive: load growth</t>
  </si>
  <si>
    <t>State growth in retail sales</t>
  </si>
  <si>
    <t>Growth in state-level retail electricity sales: 2019-2025 and 2024-2025</t>
  </si>
  <si>
    <t>State growth vs. prices</t>
  </si>
  <si>
    <t>Relationship between growth in state-level retail sales and retail prices</t>
  </si>
  <si>
    <t>ND, NM, NE load vs price</t>
  </si>
  <si>
    <t>Relationship between growth in utility-level retail sales and retail prices in ND, NM, NE</t>
  </si>
  <si>
    <t>ND, NM, NE sectoral impacts</t>
  </si>
  <si>
    <t>Impact of utility load growth on C&amp;I and residential retail electricity prices in ND, NM, NE</t>
  </si>
  <si>
    <t>ND, NM, NE generation stacks</t>
  </si>
  <si>
    <t>State-level generation and retail sales in ND, NM, NE</t>
  </si>
  <si>
    <t>PJM capacity auction prices</t>
  </si>
  <si>
    <t>PJM weighted-average capacity price by delivery year</t>
  </si>
  <si>
    <t>Trends in national-average sectoral prices</t>
  </si>
  <si>
    <t>National average commercial and industrial retail prices relative to residential prices</t>
  </si>
  <si>
    <t>C&amp;I price discount, by state</t>
  </si>
  <si>
    <t>Average C&amp;I price discount in 2025 relative to residential prices, by state</t>
  </si>
  <si>
    <t>Load growth: possible prospective benefits</t>
  </si>
  <si>
    <t>Examples that suggest possible benefits for other customers, but such outcomes are not assured and require monitoring</t>
  </si>
  <si>
    <t>Most-recent retail price change</t>
  </si>
  <si>
    <t>Latest EIA data on most-recent retail electricity price changes</t>
  </si>
  <si>
    <t>2026 and rate requests</t>
  </si>
  <si>
    <t>Utility rate change requests</t>
  </si>
  <si>
    <t>Historical data on investor-owned utility rate increase requests</t>
  </si>
  <si>
    <t>Rate increase approvals</t>
  </si>
  <si>
    <t>Regulatory acceptance of investor-owned utility rate increase requests</t>
  </si>
  <si>
    <t>Regional rate approvals</t>
  </si>
  <si>
    <t>Regional regulatory acceptance of investor-owned utility rate increase requests</t>
  </si>
  <si>
    <t>Utility ROE requests</t>
  </si>
  <si>
    <t>Historical data on IOU return-on-equity requests and approvals, and WACC approvals</t>
  </si>
  <si>
    <t>Utility ROE authorizations</t>
  </si>
  <si>
    <t>Recent (2021-2025) data on investor-owned utility return-on-equity approvals, by region</t>
  </si>
  <si>
    <t>IOU total annual capital expenditure</t>
  </si>
  <si>
    <t>Annual total IOU capital expenditure, as reported by EEI</t>
  </si>
  <si>
    <t>Natural gas plant costs</t>
  </si>
  <si>
    <t>Installed cost of natural gas power plants, over time</t>
  </si>
  <si>
    <t>Solar and wind PPA price indices</t>
  </si>
  <si>
    <t>Levelized power purchase agreement (PPA) prices, from LevelTen Energy</t>
  </si>
  <si>
    <t>CPI: All items, all urban consumers, not seasonally adjusted</t>
  </si>
  <si>
    <t>Year</t>
  </si>
  <si>
    <t>West</t>
  </si>
  <si>
    <t>Midwest</t>
  </si>
  <si>
    <t>South</t>
  </si>
  <si>
    <t>Northeast</t>
  </si>
  <si>
    <t>National</t>
  </si>
  <si>
    <t>Column1</t>
  </si>
  <si>
    <t>Census Division and State</t>
  </si>
  <si>
    <t>CPI Region</t>
  </si>
  <si>
    <t>New England</t>
  </si>
  <si>
    <t>Connecticut</t>
  </si>
  <si>
    <t>Maine</t>
  </si>
  <si>
    <t>Massachusetts</t>
  </si>
  <si>
    <t>New Hampshire</t>
  </si>
  <si>
    <t>Rhode Island</t>
  </si>
  <si>
    <t>Vermont</t>
  </si>
  <si>
    <t>Middle Atlantic</t>
  </si>
  <si>
    <t>New Jersey</t>
  </si>
  <si>
    <t>New York</t>
  </si>
  <si>
    <t>Pennsylvania</t>
  </si>
  <si>
    <t>East North Central</t>
  </si>
  <si>
    <t>Illinois</t>
  </si>
  <si>
    <t>Indiana</t>
  </si>
  <si>
    <t>Michigan</t>
  </si>
  <si>
    <t>Ohio</t>
  </si>
  <si>
    <t>2026p</t>
  </si>
  <si>
    <t>2.8% assumed</t>
  </si>
  <si>
    <t>Wisconsin</t>
  </si>
  <si>
    <t>2027p</t>
  </si>
  <si>
    <t>2.4% assumed</t>
  </si>
  <si>
    <t>West North Central</t>
  </si>
  <si>
    <t>2028p</t>
  </si>
  <si>
    <t>2.3% assumed</t>
  </si>
  <si>
    <t>Iowa</t>
  </si>
  <si>
    <t>2029p</t>
  </si>
  <si>
    <t>Kansas</t>
  </si>
  <si>
    <t>2030p</t>
  </si>
  <si>
    <t>Minnesota</t>
  </si>
  <si>
    <t>Missouri</t>
  </si>
  <si>
    <t>Sources:</t>
  </si>
  <si>
    <t>Regional CPI: https://www.bls.gov/cpi/regional-resources.htm</t>
  </si>
  <si>
    <t>Nebraska</t>
  </si>
  <si>
    <t>National CPI: https://data.bls.gov/toppicks?survey=cu</t>
  </si>
  <si>
    <t>North Dakota</t>
  </si>
  <si>
    <t>CPI projection: https://www.cbo.gov/publication/62105</t>
  </si>
  <si>
    <t>South Dakota</t>
  </si>
  <si>
    <t>South Atlantic</t>
  </si>
  <si>
    <t>Notes:</t>
  </si>
  <si>
    <t>None</t>
  </si>
  <si>
    <t>Delaware</t>
  </si>
  <si>
    <t>District of Columbia</t>
  </si>
  <si>
    <t>Florida</t>
  </si>
  <si>
    <t>Georgia</t>
  </si>
  <si>
    <t>Maryland</t>
  </si>
  <si>
    <t>North Carolina</t>
  </si>
  <si>
    <t>South Carolina</t>
  </si>
  <si>
    <t>Virginia</t>
  </si>
  <si>
    <t>West Virginia</t>
  </si>
  <si>
    <t>East South Central</t>
  </si>
  <si>
    <t>Alabama</t>
  </si>
  <si>
    <t>Kentucky</t>
  </si>
  <si>
    <t>Mississippi</t>
  </si>
  <si>
    <t>Tennessee</t>
  </si>
  <si>
    <t>West South Central</t>
  </si>
  <si>
    <t>Arkansas</t>
  </si>
  <si>
    <t>Louisiana</t>
  </si>
  <si>
    <t>Oklahoma</t>
  </si>
  <si>
    <t>Texas</t>
  </si>
  <si>
    <t>Mountain</t>
  </si>
  <si>
    <t>Arizona</t>
  </si>
  <si>
    <t>Colorado</t>
  </si>
  <si>
    <t>Idaho</t>
  </si>
  <si>
    <t>Montana</t>
  </si>
  <si>
    <t>Nevada</t>
  </si>
  <si>
    <t>New Mexico</t>
  </si>
  <si>
    <t>Utah</t>
  </si>
  <si>
    <t>Wyoming</t>
  </si>
  <si>
    <t>Pacific Contiguous</t>
  </si>
  <si>
    <t>California</t>
  </si>
  <si>
    <t>Oregon</t>
  </si>
  <si>
    <t>Washington</t>
  </si>
  <si>
    <t>Pacific Noncontiguous</t>
  </si>
  <si>
    <t>Alaska</t>
  </si>
  <si>
    <t>Hawaii</t>
  </si>
  <si>
    <t>U.S. Total</t>
  </si>
  <si>
    <t>All-sector average retail electricity price, over time</t>
  </si>
  <si>
    <t>Real 2025
cents/kWh</t>
  </si>
  <si>
    <t>Nominal
cents/kWh</t>
  </si>
  <si>
    <t>EIA 861: https://www.eia.gov/electricity/data/state/</t>
  </si>
  <si>
    <t>EIA 861M: https://www.eia.gov/electricity/data.php#revenue</t>
  </si>
  <si>
    <t>861M preliminary data used for most recent year</t>
  </si>
  <si>
    <t>Residential, nominal</t>
  </si>
  <si>
    <t>Commercial. nominal</t>
  </si>
  <si>
    <t>Industrial, nominal</t>
  </si>
  <si>
    <t>All Sectors, nominal</t>
  </si>
  <si>
    <t>Residential</t>
  </si>
  <si>
    <t>Commercial</t>
  </si>
  <si>
    <t>Industrial</t>
  </si>
  <si>
    <t>All Sectors</t>
  </si>
  <si>
    <t>2019 price</t>
  </si>
  <si>
    <t>2019-2024 price increase</t>
  </si>
  <si>
    <t>2024-2025 price increase</t>
  </si>
  <si>
    <t>% increase 2019-2025</t>
  </si>
  <si>
    <t>% increase 2024-2025</t>
  </si>
  <si>
    <t>EIA 861: https://www.eia.gov/electricity/data.php#revenue</t>
  </si>
  <si>
    <t>Resdential electricity, nominal cents/kWh</t>
  </si>
  <si>
    <t>Residential natural gas, nominal $/tcf</t>
  </si>
  <si>
    <t>Regular gasoline, nominal $/gal</t>
  </si>
  <si>
    <t>Food and beverages purchased for off-premises consumption: index</t>
  </si>
  <si>
    <t>Health care: index</t>
  </si>
  <si>
    <t>Housing: index</t>
  </si>
  <si>
    <t>Index to 2010</t>
  </si>
  <si>
    <t>Electricity</t>
  </si>
  <si>
    <t>Natural Gas</t>
  </si>
  <si>
    <t>Gasoline</t>
  </si>
  <si>
    <t>Groceries</t>
  </si>
  <si>
    <t>Health</t>
  </si>
  <si>
    <t>Housing</t>
  </si>
  <si>
    <t>Index to 2019</t>
  </si>
  <si>
    <t>Natural gas</t>
  </si>
  <si>
    <t>EIA: https://www.eia.gov/dnav/ng/hist/n3010us3a.htm</t>
  </si>
  <si>
    <t>EIA: https://www.eia.gov/dnav/pet/pet_pri_gnd_dcus_nus_a.htm</t>
  </si>
  <si>
    <t>Others</t>
  </si>
  <si>
    <t>BEA: https://apps.bea.gov/iTable/?reqid=19&amp;step=2&amp;isuri=1&amp;categories=survey&amp;_gl=1*15s06nk*_ga*OTA0Njg0NTcxLjE3NTg1NjY0Mzg.*_ga_J4698JNNFT*czE3NTg1NjY0MzgkbzEkZzEkdDE3NTg1NjY5MTIkajQzJGwwJGgw#eyJhcHBpZCI6MTksInN0ZXBzIjpbMSwyLDMsM10sImRhdGEiOltbImNhdGVnb3JpZXMiLCJTdXJ2ZXkiXSxbIk5JUEFfVGFibGVfTGlzdCIsIjY0Il0sWyJGaXJzdF9ZZWFyIiwiMjAyMyJdLFsiTGFzdF9ZZWFyIiwiMjAyNSJdLFsiU2NhbGUiLCIwIl0sWyJTZXJpZXMiLCJBIl0sWyJTZWxlY3RfYWxsX3llYXJzIiwiMSJdXX0=</t>
  </si>
  <si>
    <t>861M preliminary data used for most recent year for retail electricity prices</t>
  </si>
  <si>
    <t>Residential electricity bills as a percentage of expenditure and income</t>
  </si>
  <si>
    <t>nominal dollars (not adjusted for inflation)</t>
  </si>
  <si>
    <t>Electricity share of income</t>
  </si>
  <si>
    <t>Electricity share of expenditures</t>
  </si>
  <si>
    <t>Income before taxes ($/yr)</t>
  </si>
  <si>
    <t>Total expenditures ($/yr)</t>
  </si>
  <si>
    <t>Electricity expenditures ($/yr)</t>
  </si>
  <si>
    <t>BLS Number of consumer units (000s)</t>
  </si>
  <si>
    <t>BEA personal consumption expenditures (million $)</t>
  </si>
  <si>
    <t>BEA PCE per consumer unit ($/yr)</t>
  </si>
  <si>
    <t>BEA wages and salaries (million $)</t>
  </si>
  <si>
    <t>BEA wages and salaries per consumer unit ($/yr)</t>
  </si>
  <si>
    <t>EIA electricity bill ($/yr)</t>
  </si>
  <si>
    <t># of residential customers</t>
  </si>
  <si>
    <t>Revenue from electric sales (million $)</t>
  </si>
  <si>
    <t>BLS Consumer Expenditure Survey, multi-year means per consumer unit: https://www.bls.gov/cex/tables/top-line-means.htm</t>
  </si>
  <si>
    <t>For latest year extrapolation: BEA Table 2.1 for income: https://apps.bea.gov/iTable/?reqid=19&amp;step=2&amp;isuri=1&amp;categories=survey&amp;_gl=1*15s06nk*_ga*OTA0Njg0NTcxLjE3NTg1NjY0Mzg.*_ga_J4698JNNFT*czE3NTg1NjY0MzgkbzEkZzEkdDE3NTg1NjY5MTIkajQzJGwwJGgw#eyJhcHBpZCI6MTksInN0ZXBzIjpbMSwyLDMsM10sImRhdGEiOltbImNhdGVnb3JpZXMiLCJTdXJ2ZXkiXSxbIk5JUEFfVGFibGVfTGlzdCIsIjU4Il0sWyJGaXJzdF9ZZWFyIiwiMjAyMyJdLFsiTGFzdF9ZZWFyIiwiMjAyNSJdLFsiU2NhbGUiLCItNiJdLFsiU2VyaWVzIiwiQSJdLFsiU2VsZWN0X2FsbF95ZWFycyIsIjEiXV19</t>
  </si>
  <si>
    <t>For latest year extrapolation: BEA Table 2.3.5 for PCE: https://apps.bea.gov/iTable/?reqid=19&amp;step=2&amp;isuri=1&amp;categories=survey&amp;_gl=1*23ss0x*_ga*ODM3MDQ1MjQ4LjE3NjU0MDcyMDE.*_ga_J4698JNNFT*czE3NzYwMDczMTEkbzEzJGcxJHQxNzc2MDA3NzEyJGo0MyRsMCRoMA..#eyJhcHBpZCI6MTksInN0ZXBzIjpbMSwyLDNdLCJkYXRhIjpbWyJjYXRlZ29yaWVzIiwiU3VydmV5Il0sWyJOSVBBX1RhYmxlX0xpc3QiLCI2NSJdXX0=</t>
  </si>
  <si>
    <t>For latest year extrapolation: EIA browser for electricity bills: https://www.eia.gov/electricity/data/browser</t>
  </si>
  <si>
    <t xml:space="preserve">Latest year data are extrapolated: electricity expenditures from YoY change from EIA; for income and total expenditures, extrapolated BLS number of consumer units based on 10-year average increase and divided BEA "PCE" and "wages and salaries" by those consumer units to estimate latest year $/consumer units. Used YoY change in those figures to estimate latest year values. </t>
  </si>
  <si>
    <t>Change in residential expenditures by product</t>
  </si>
  <si>
    <t>BLS data, with 2025 extrapolation</t>
  </si>
  <si>
    <t>BEA data, used for 2025 extrapolation</t>
  </si>
  <si>
    <t>Goods and services</t>
  </si>
  <si>
    <t>Overall Change, 2019-2025 ($/yr)</t>
  </si>
  <si>
    <t>Electricity, per consumer unit (BLS)</t>
  </si>
  <si>
    <t>Income before taxes, per consumer unit</t>
  </si>
  <si>
    <t>Housing minus energy, per consumer unit</t>
  </si>
  <si>
    <t>Health care, per consumer unit</t>
  </si>
  <si>
    <t>Food, per consumer unit</t>
  </si>
  <si>
    <t>Transportation, per consumer unit</t>
  </si>
  <si>
    <t>Energy: electricity, heating, and transportation, per consumer unit</t>
  </si>
  <si>
    <t>Total expenditures, per consumer unit</t>
  </si>
  <si>
    <t>BEA housing (million $)</t>
  </si>
  <si>
    <t>BEA health care (million $)</t>
  </si>
  <si>
    <t>BEA food and beverages purchased for off-premises consumption (million $)</t>
  </si>
  <si>
    <t>BEA transportion: gasoline and other energy goods + motor vehicles and parts + transportation services (million $)</t>
  </si>
  <si>
    <t>BEA energy good and services: gasoline and other energy goods + electricity and gas services (million $)</t>
  </si>
  <si>
    <t>BEA wages and salaries ($/consumer unit)</t>
  </si>
  <si>
    <t>BEA personal consumption expenditures ($/consumer unit)</t>
  </si>
  <si>
    <t>BEA housing ($/consumer unit)</t>
  </si>
  <si>
    <t>BEA health care ($/consumer unit)</t>
  </si>
  <si>
    <t>BEA food and beverages purchased for off-premises consumption ($/consumer unit)</t>
  </si>
  <si>
    <t>BEA transportion: gasoline and other energy goods + motor vehicles and parts + transportation services ($/consumer unit)</t>
  </si>
  <si>
    <t>BEA energy good and services: gasoline and other energy goods + electricity and gas services ($/consumer unit)</t>
  </si>
  <si>
    <t>Health care</t>
  </si>
  <si>
    <t xml:space="preserve">Food </t>
  </si>
  <si>
    <t>Transportation</t>
  </si>
  <si>
    <t>Energy services</t>
  </si>
  <si>
    <t>2025 estimate</t>
  </si>
  <si>
    <t>Electricity % of total</t>
  </si>
  <si>
    <t>2019-2024</t>
  </si>
  <si>
    <t>2019-2025</t>
  </si>
  <si>
    <t>BLS Consumer Expenditure Survey, top line means per consumer unit for data through 2024: https://www.bls.gov/cex/tables.htm</t>
  </si>
  <si>
    <t>For latest year extrapolation: BEA Table 2.3.5 for expenditures other than electricity: https://apps.bea.gov/iTable/?reqid=19&amp;step=2&amp;isuri=1&amp;categories=survey&amp;_gl=1*23ss0x*_ga*ODM3MDQ1MjQ4LjE3NjU0MDcyMDE.*_ga_J4698JNNFT*czE3NzYwMDczMTEkbzEzJGcxJHQxNzc2MDA3NzEyJGo0MyRsMCRoMA..#eyJhcHBpZCI6MTksInN0ZXBzIjpbMSwyLDNdLCJkYXRhIjpbWyJjYXRlZ29yaWVzIiwiU3VydmV5Il0sWyJOSVBBX1RhYmxlX0xpc3QiLCI2NSJdXX0=</t>
  </si>
  <si>
    <t xml:space="preserve">Notes: </t>
  </si>
  <si>
    <t xml:space="preserve">Extrapolation to latest year with data from EIA and BEA: electricity expenditures from YoY change from EIA; for all others, extrapolated BLS number of consumer units based on 10-year average increase and divided BEA values by those consumer units to estimate latest year $/consumer units. Used YoY change in those figures to estimate latest year values. </t>
  </si>
  <si>
    <t>Electricity share of change in household expenditures by income</t>
  </si>
  <si>
    <t>Electricity expenditures, per consumer unit (BLS, $/yr)</t>
  </si>
  <si>
    <t>Total expenditures, per consumer unit (BLS, $/yr)</t>
  </si>
  <si>
    <t>Income deciles</t>
  </si>
  <si>
    <t>Electricity as % of total 2019-2025 increase</t>
  </si>
  <si>
    <t>Total increase ($/yr)</t>
  </si>
  <si>
    <t>Electricity increase ($/yr)</t>
  </si>
  <si>
    <t>Electricity as % of total 2019-2024 increase</t>
  </si>
  <si>
    <t>Total increase: 2019-2025</t>
  </si>
  <si>
    <t>Electricity increase: 2019-2025</t>
  </si>
  <si>
    <t>Lowest 20%</t>
  </si>
  <si>
    <t>All</t>
  </si>
  <si>
    <t>Highest 20%</t>
  </si>
  <si>
    <t xml:space="preserve">Extrapolation to latest year with data from EIA and BEA: electricity expenditures from YoY change from EIA; for total expenditures, extrapolated BLS number of consumer units based on 10-year average increase and divided BEA values by those consumer units to estimate latest year $/consumer units. Used YoY change in those figures to estimate latest year values. </t>
  </si>
  <si>
    <t>Extrapolation to latest year assumes same relative impacts on all income groupings</t>
  </si>
  <si>
    <t>Average Retail Price (2025$, cents/kWh)</t>
  </si>
  <si>
    <t>EIA 861M: https://www.eia.gov/electricity/monthly/</t>
  </si>
  <si>
    <t xml:space="preserve">861M preliminary data used </t>
  </si>
  <si>
    <t>2019 Average Retail Price (nominal, cents/kWh)</t>
  </si>
  <si>
    <t>2024 Average Retail Price (nominal, cents/kWh)</t>
  </si>
  <si>
    <t>2025 Average Retail Price (nominal, cents/kWh)</t>
  </si>
  <si>
    <t>2019 Average Retail Price (2025$, cents/kWh)</t>
  </si>
  <si>
    <t>2024 Average Retail Price (2025$, cents/kWh)</t>
  </si>
  <si>
    <t>2025 Average Retail Price (2025$, cents/kWh)</t>
  </si>
  <si>
    <t>2019-2025 price change (2025$, cents/kWh)</t>
  </si>
  <si>
    <t>2024-2025 price change (2025$, cents/kWh)</t>
  </si>
  <si>
    <t>2019-2024 price change (2025$, cents/kWh)</t>
  </si>
  <si>
    <t>EIA 861: https://www.eia.gov/electricity/data/browser</t>
  </si>
  <si>
    <t>2019-2025 price change (nominal, cents/kWh)</t>
  </si>
  <si>
    <t>2024-2025 price change (nominal, cents/kWh)</t>
  </si>
  <si>
    <t>2019-2024 price change (nominal, cents/kWh)</t>
  </si>
  <si>
    <t>Average Residential Retail Price (2025$, cents/kWh)</t>
  </si>
  <si>
    <t>Revenue from retail sales ($ million)</t>
  </si>
  <si>
    <t># customers</t>
  </si>
  <si>
    <t>Average bill ($/yr)</t>
  </si>
  <si>
    <t>Change in bills ($/yr)</t>
  </si>
  <si>
    <t>Retail sales</t>
  </si>
  <si>
    <t xml:space="preserve">Retail sales </t>
  </si>
  <si>
    <t>Average bill if sales/ customer = 2019  ($/yr)</t>
  </si>
  <si>
    <t>Average bill if sales/ customer = 2019 ($/yr)</t>
  </si>
  <si>
    <t>Change in bills if sales/ customer = 2019 ($/yr)</t>
  </si>
  <si>
    <t>Average Residential Monthly Bill (2025$, $/month)</t>
  </si>
  <si>
    <t>Number of residential customers</t>
  </si>
  <si>
    <t>Revenue from sales, million $</t>
  </si>
  <si>
    <t>2025-2019</t>
  </si>
  <si>
    <t>EIA browser: https://www.eia.gov/electricity/data/browser</t>
  </si>
  <si>
    <t>861M preliminary data used for 2025</t>
  </si>
  <si>
    <t>Electricity burden (%)</t>
  </si>
  <si>
    <t>Change in burden</t>
  </si>
  <si>
    <t>Revenue from retail sales (million $)</t>
  </si>
  <si>
    <t>Number of customers</t>
  </si>
  <si>
    <t>Residential average bills ($/yr)</t>
  </si>
  <si>
    <t>Median household Income ($)</t>
  </si>
  <si>
    <t>2025 est</t>
  </si>
  <si>
    <t>2025 est w/ fixed sales</t>
  </si>
  <si>
    <t>2019-2025 w/ fixed sales</t>
  </si>
  <si>
    <t>2025 w/ 2019 sales</t>
  </si>
  <si>
    <t>CAGR: 2019-2024</t>
  </si>
  <si>
    <t>United States</t>
  </si>
  <si>
    <t>District Of Columbia</t>
  </si>
  <si>
    <t xml:space="preserve">Sources: </t>
  </si>
  <si>
    <t>Average electricity bills: EIA browser: https://www.eia.gov/electricity/data/browser</t>
  </si>
  <si>
    <t>Median income: Census, via FRED: https://fred.stlouisfed.org/release/tables?rid=249&amp;eid=259462#snid=259463</t>
  </si>
  <si>
    <t>State median income extrapolated to latest year based on 5-year average change</t>
  </si>
  <si>
    <t xml:space="preserve">To control for weather, BTM solar, etc., 2025 bills are (in one case) estimated using 2025 prices but 2019 data for retail sales per customer  </t>
  </si>
  <si>
    <t>&lt;$50k</t>
  </si>
  <si>
    <t>$50-100k</t>
  </si>
  <si>
    <t>$100-150k</t>
  </si>
  <si>
    <t>&gt;$150k</t>
  </si>
  <si>
    <t>2025*</t>
  </si>
  <si>
    <t>Bureau of Labor Statistics, Consumer Expenditure Survey: https://www.bls.gov/cex/</t>
  </si>
  <si>
    <t xml:space="preserve">Results reported above (average electricity burden) exclude the bottom and top quartiles of data in each income bin to create more stable results. </t>
  </si>
  <si>
    <t xml:space="preserve">Electricity costs are based on respondent reports of costs over three-month periods and therefore likely entail some degree of recall error. </t>
  </si>
  <si>
    <t>Further, because the survey data are not panel data, some changes over time may reflect spurious changes in the underlying sample. Results should be interpreted with care.</t>
  </si>
  <si>
    <t>* 2025 values are projected based on regional EIA electricity bill data and regional income trends in the Consumer Expenditure Survey data</t>
  </si>
  <si>
    <t>Census Region</t>
  </si>
  <si>
    <t>Change in electricity burden (percentage): 2019-2025
Lower-income households &lt; 80% regional median income</t>
  </si>
  <si>
    <t>Change in electricity burden (percentage): 2019-2025
Higher-income households &gt; 80% regional median income</t>
  </si>
  <si>
    <t>Pacific</t>
  </si>
  <si>
    <t xml:space="preserve">Data (average electricity burden) exclude the bottom and top quartiles of data in each income bin to create more stable results. </t>
  </si>
  <si>
    <t>2025 values are projected based on regional EIA price data and regional income trends in the Consumer Expenditure Survey data</t>
  </si>
  <si>
    <t>Percent of households that, in the previous two months:</t>
  </si>
  <si>
    <t>Reduced necessary expenses to pay for energy</t>
  </si>
  <si>
    <t>Maintained unsafe or unhealthy home temperatures</t>
  </si>
  <si>
    <t>Unable to pay energy bills</t>
  </si>
  <si>
    <t>N</t>
  </si>
  <si>
    <t>Percent of sample</t>
  </si>
  <si>
    <t>&gt;$50k/yr household income</t>
  </si>
  <si>
    <t>&lt;$50k/yr household income</t>
  </si>
  <si>
    <t>&lt;$50k/yr income &amp; financially stressed</t>
  </si>
  <si>
    <t>Source:</t>
  </si>
  <si>
    <t>U.S. Census Household Trends and Outlook Pulse (HTOPS) Survey, March 2026</t>
  </si>
  <si>
    <t>HTOPS question HSE14: In the last 2 months, did your household reduce or forego expenses for basic household necessities, such as medicine or food, in order to pay an energy bill?</t>
  </si>
  <si>
    <t>HTOPS question HSE15: In the last 2 months, did your household keep your home at a temperature that you felt was unsafe or unhealthy?</t>
  </si>
  <si>
    <t>HTOPS question HSE16: In the last 2 months, was your household unable to pay an energy bill or unable to pay the full bill amount?</t>
  </si>
  <si>
    <t>Questions relate to energy bills, not just electricity</t>
  </si>
  <si>
    <t>The % shares of households are calculated using household weights provided in the HTOPS public use file</t>
  </si>
  <si>
    <t>The N refers to the number of survey respondents in the household group</t>
  </si>
  <si>
    <t>% of sample refers to the share of the household group of all respondents that reported a household income</t>
  </si>
  <si>
    <t>"Financially stressed" refers to households that reported that price increases in their area in the past 2 months felt "very stressful" (based on HTOPS question INFLATE2)</t>
  </si>
  <si>
    <t>% change, nominal</t>
  </si>
  <si>
    <t>% change, real</t>
  </si>
  <si>
    <t>EIA 861: https://www.eia.gov/electricity/annual/</t>
  </si>
  <si>
    <t>2024 Average Residential Price (nominal, cents/kWh)</t>
  </si>
  <si>
    <t>2025 Average Residential Price (nominal, cents/kWh)</t>
  </si>
  <si>
    <t>2024 Average Residential Price (2025$, cents/kWh)</t>
  </si>
  <si>
    <t>2025 Average Residential Price (2025$, cents/kWh)</t>
  </si>
  <si>
    <t>Driver</t>
  </si>
  <si>
    <t>INCREASE &gt;2%, 30 states</t>
  </si>
  <si>
    <t>DECREASE &gt; 2%, 4 states</t>
  </si>
  <si>
    <t>Fuel / wholesale supply</t>
  </si>
  <si>
    <t>Distribution cost</t>
  </si>
  <si>
    <t>Generation CapEx</t>
  </si>
  <si>
    <t>Transmission cost</t>
  </si>
  <si>
    <t>Storm cost recovery</t>
  </si>
  <si>
    <t>Capacity market prices</t>
  </si>
  <si>
    <t>Extreme inflation</t>
  </si>
  <si>
    <t>Clean energy policy</t>
  </si>
  <si>
    <t>Wildfire cost</t>
  </si>
  <si>
    <t>Other</t>
  </si>
  <si>
    <t xml:space="preserve">Review of filings, rate cases, tariffs, news, press releases, other analyses to broadly assess the cited primary drivers for year-over-year all-sector average price changes
</t>
  </si>
  <si>
    <t>Focused on states with larger inflation-adjusted increases (&gt;2%, 30 states) or decreases (&gt;2%, 4 states)</t>
  </si>
  <si>
    <t>Up to 4 primary drivers identified for each state with a YoY price increase or decrease of greater than 2%, after adjusting for inflation</t>
  </si>
  <si>
    <t>Assessmement is based on review of literature; lack of readily available and comparable data thus require a level of subjectivity in the assessment</t>
  </si>
  <si>
    <t>Year-over-year trends are subject to various state ratemaking idiosyncrasies; trends and drivers reported here may change in future years and would differ if assessed over different timeframes</t>
  </si>
  <si>
    <t>Natural gas price, delivered to electric generators ($/Mcf)</t>
  </si>
  <si>
    <t>Natural gas share of total electric generation (%)</t>
  </si>
  <si>
    <t>Forecast 2025</t>
  </si>
  <si>
    <t>Actual 2025</t>
  </si>
  <si>
    <t>AEO 2010: https://www.eia.gov/outlooks/archive/aeo10/aeoref_tab.html</t>
  </si>
  <si>
    <t>Actual natural gas price: https://www.eia.gov/dnav/ng/hist/n3045us3a.htm</t>
  </si>
  <si>
    <t>Actual natural gas share: https://www.eia.gov/electricity/data.php</t>
  </si>
  <si>
    <t>Nominal cents/kWh (or $/Mcf for natural gas)</t>
  </si>
  <si>
    <t>2025 cents/kWh (or $/Mcf for natural gas)</t>
  </si>
  <si>
    <t>CAISO</t>
  </si>
  <si>
    <t>ERCOT</t>
  </si>
  <si>
    <t>MISO</t>
  </si>
  <si>
    <t>SPP</t>
  </si>
  <si>
    <t>PJM</t>
  </si>
  <si>
    <t>NYISO</t>
  </si>
  <si>
    <t>ISO-NE</t>
  </si>
  <si>
    <t>Natural gas $/Mcf</t>
  </si>
  <si>
    <t>Retail electricity price (national)</t>
  </si>
  <si>
    <t>Wholesale real-time energy prices: ISOs, often accessed via Hitachi's Velocity Suite dataset</t>
  </si>
  <si>
    <t>Natural gas prices delivered to electric generators nationally: EIA - https://www.eia.gov/dnav/ng/hist/n3045us3M.htm</t>
  </si>
  <si>
    <t>\</t>
  </si>
  <si>
    <t>Development of load-weighted averages involved selecting specific pricing hubs, then roughly weighting them based on load volumes</t>
  </si>
  <si>
    <t>Simplifications and assumptions were required given unique circumstances for each ISO, and changes in market boundaries over time</t>
  </si>
  <si>
    <t>Used national CPI to adjust for inflation as multiple ISOs span multiple regions</t>
  </si>
  <si>
    <t>Wholesale energy and natural gas price change</t>
  </si>
  <si>
    <t>Region</t>
  </si>
  <si>
    <t>2024: wholesale electricity price</t>
  </si>
  <si>
    <t>2025: wholesale electricity price</t>
  </si>
  <si>
    <t>Change in wholesale price (cents/kWh)</t>
  </si>
  <si>
    <t>2024: natural gas price</t>
  </si>
  <si>
    <t>2025: natural gas price</t>
  </si>
  <si>
    <t>Change in natural gas price ($/Mcf)</t>
  </si>
  <si>
    <t>National natural gas prices delivered to electric generators: EIA - https://www.eia.gov/dnav/ng/hist/n3045us3M.htm</t>
  </si>
  <si>
    <t>Natural gas hub prices by ISO region for 2024 and 2025: Hitachi Energy Velocity</t>
  </si>
  <si>
    <t>Regional natural gas hub prices only loosely approximate regional gas costs as generally only one hub is selected for each region whereas, in practice, regions contain multiple gas pricing locations</t>
  </si>
  <si>
    <t xml:space="preserve">    CAISO: average of 'Hitachi Energy California - North' and 'Hitachi Energy California - South'</t>
  </si>
  <si>
    <t>    ERCOT: 'Hitachi Energy Gulf Coast ETX'</t>
  </si>
  <si>
    <t>    SPP: 'Hitachi Energy Midcontinent - Lower'</t>
  </si>
  <si>
    <t>    MISO: 'Hitachi Energy Chicago Metro'</t>
  </si>
  <si>
    <t>    PJM: 'Hitachi Energy Mid-Atlantic'</t>
  </si>
  <si>
    <t>    NYISO: 'Hitachi Energy New York/Long Island'</t>
  </si>
  <si>
    <t>    ISO-NE: 'Hitachi Energy New England'</t>
  </si>
  <si>
    <t>Wholesale cost from capacity payment (nominal, cents/kWh)</t>
  </si>
  <si>
    <t>Capacity auction clearing price (weighted-avg. nominal$/MW-day)</t>
  </si>
  <si>
    <t>Wholesale cost from capacity payment (2025 cents/kWh)</t>
  </si>
  <si>
    <t>Capacity auction clearing price (weighted-avg. 2025$/MW-day)</t>
  </si>
  <si>
    <t>Q3 2025 IMM report: https://www.monitoringanalytics.com/reports/PJM_State_of_the_Market/2025/2025q3-som-pjm.pdf</t>
  </si>
  <si>
    <t>PJM capacity auction: https://www.pjm.com/-/media/DotCom/markets-ops/rpm/rpm-auction-info/2027-2028/2027-2028-bra-report.pdf</t>
  </si>
  <si>
    <t>PJM load forecast: https://www.pjm.com/planning/resource-adequacy-planning/load-forecast-dev-process</t>
  </si>
  <si>
    <t>Wholesale costs include auctioned capacity payments and modest additional costs as reported by PJM's IMM</t>
  </si>
  <si>
    <t>Estimates for 2026-2027 are based on forward capacity-market clearing prices, additional costs assumed to be similar to previous years, and PJM load forecase</t>
  </si>
  <si>
    <t>Used national CPI for inflation adjustment as PJM spans multiple regions</t>
  </si>
  <si>
    <t>IOU generation-related capital expenditure</t>
  </si>
  <si>
    <t xml:space="preserve">IOU industry capital expenditure, projected by EEI </t>
  </si>
  <si>
    <t>Total annual capital expenditure, nominal billion $</t>
  </si>
  <si>
    <t>Total annual IOU capital expenditure, real billion 2025$</t>
  </si>
  <si>
    <t>Percent generation</t>
  </si>
  <si>
    <t>Annual generation capital expenditure, nominal billion $</t>
  </si>
  <si>
    <t>Generation: annual IOU  capital expenditure, real billion 2025$</t>
  </si>
  <si>
    <t>Other: annual IOU  capital expenditure, real billion 2025$</t>
  </si>
  <si>
    <t>EEI: https://www.eei.org/-/media/Project/EEI/Documents/Issues-and-Policy/Finance-And-Tax/Industry-Capital-Expenditures.pdf</t>
  </si>
  <si>
    <t>Annual distribution costs in nominal, not inflation adjusted, cents/kWh</t>
  </si>
  <si>
    <t>Annual distribution costs in real, inflation adjusted, 2025 cents/kWh</t>
  </si>
  <si>
    <t>West (non-ISO)</t>
  </si>
  <si>
    <t>Southeast (non-ISO)</t>
  </si>
  <si>
    <t>N/A</t>
  </si>
  <si>
    <t>FERC Form 1, with data through 2024</t>
  </si>
  <si>
    <t>Distribution impacts are rough approximations</t>
  </si>
  <si>
    <t xml:space="preserve">Data are estimated based on annually reported distribution O&amp;M and depreciation combined with rough allocations to distribution of taxes, interest, and shareholder net income. Actual customer price impacts will vary based on the vagaries of general rate cases, cost trackers, and other details. </t>
  </si>
  <si>
    <t>Emphasis is on "distribution" CapEx and O&amp;M as defined in FERC Form 1. As such, focus is on infrastructure costs not broader costs that utilities and regulators might consider distribution such as business operations, customer support, insurance, and many others</t>
  </si>
  <si>
    <t>ISO-NE transmission costs: 2010-2025</t>
  </si>
  <si>
    <t>Average wholesale cost from transmission (nominal, cents/kWh)</t>
  </si>
  <si>
    <t>Average wholesale cost from transmission (2025 cents/kWh)</t>
  </si>
  <si>
    <t>Regional network load costs from: Internal Market Monitor: https://www.iso-ne.com/static-assets/documents/100023/2024-annual-markets-report.pdf, and earlier market reports</t>
  </si>
  <si>
    <t>Except that data from 2018 and later are from: https://www.iso-ne.com/search?document-type=Regional%20Network%20Load%20Cost%20Reports&amp;query=monthly%20network%20load%20cost%20report</t>
  </si>
  <si>
    <t>Augmented with local network service costs, based on data from ISO-NE for recent years (https://www.iso-ne.com/participate/filings-orders/ptoac) and an extrapolated values for earlier years based on a limited utility sample</t>
  </si>
  <si>
    <t>Historical load from: https://www.iso-ne.com/isoexpress/web/reports/load-and-demand/-/tree/net-ener-peak-load</t>
  </si>
  <si>
    <t>Transmission costs have increased in recent years due to investments addressing ISO-identified reliability needs, replacement of aging infrastructure through asset condition projects, and broader inflationary pressures</t>
  </si>
  <si>
    <t>Increase in 2025 is due in part to previous undercollection at a regional level</t>
  </si>
  <si>
    <t>Data reflect "Regional Network Service", which are charges for regional transmission, and average Local Network Service (LNS) under schedule 21 and that consist of local networks</t>
  </si>
  <si>
    <t>RNS data sources also include certain administration and reliabilty services; reduced values by 5% to focus solely on transmission infrastructure costs</t>
  </si>
  <si>
    <t>LNS is lower than RNS, but adds to the totals; actual LNS data used for 2022 to the present; LNS prior to 2022 is estimated based on a subset of available utility data</t>
  </si>
  <si>
    <t>Price year</t>
  </si>
  <si>
    <t>Price change: impact estimate</t>
  </si>
  <si>
    <t>2010-2025</t>
  </si>
  <si>
    <t>FERC Form 1</t>
  </si>
  <si>
    <t xml:space="preserve">Cost estimates  based on annually reported distribution O&amp;M and depreciation combined with rough allocations to distribution of taxes, interest, and shareholder net income. </t>
  </si>
  <si>
    <t>Actual customer price impacts will vary based on the vagaries of general rate cases, cost trackers, and other details.</t>
  </si>
  <si>
    <t>Emphasis is on "distribution" CapEx and O&amp;M as defined in FERC Form 1. As such, focus is on infrastructure costs not broader costs that utilities and regulators might consider distribution such as business operations, customer support, insurance, and many others.</t>
  </si>
  <si>
    <t>Estimated distribution price impacts between two years assumes a 1 year lag between costs and prices thus using 2018 and 2024 costs from FERC Form 1 to reflect approximate 2019-2025 price impacts; and 2009 to 2024 costs from FERC Form 1 to estimate 2010-2025 price impacts</t>
  </si>
  <si>
    <t>However, a change in tax law impacted 2018 values, so for all regions except CAISO we used an average of 2017-2018 to estimate 2019 price impacts; for CAISO we only used 2017 costs for 2019 prices given PG&amp;E bankrupty and its impact on skewing estimates in 2018-2019.</t>
  </si>
  <si>
    <t>Nominal: not inflation adjusted, cents/kWh</t>
  </si>
  <si>
    <t>Real 2025$: inflation adjusted, cents/kWh</t>
  </si>
  <si>
    <t>2024-2025</t>
  </si>
  <si>
    <t>Market monitor reports, ISO tariffs, regulatory filings, and many more</t>
  </si>
  <si>
    <t>Absolute numerical values across states are not fully comparable given different definitions of costs included in the "transmission" category based on available data</t>
  </si>
  <si>
    <t>PJM: Includes Network Integration Transmission Service (NITS) rates, covering O&amp;M and base project costs, and Transmission Enhancement Charges (TEC) for major upgrades. Derate applied to roughly exclude administration and certail reliability costs.</t>
  </si>
  <si>
    <t>ISO-NE: Includes RNS and LNS. Regional network load costs comprise ~95% transmission infrastructure (derate applied to focus on that infrastructure). LNS costs are for local transmission infrastructure.</t>
  </si>
  <si>
    <t xml:space="preserve">NYISO: Include NTAC, TSC, and NYISO-planned transmission infrastructure. </t>
  </si>
  <si>
    <t xml:space="preserve">CAISO: Data includes regional high-voltage costs as well as lower voltage, utility-specific costs. </t>
  </si>
  <si>
    <t>ERCOT: Costs of physical infrastructure and upkeep are included.</t>
  </si>
  <si>
    <t xml:space="preserve">MISO: Includes zonal and regional costs, via multiple schedules. </t>
  </si>
  <si>
    <t xml:space="preserve">SPP: Includes zonal and regional costs, via multiple schedules. </t>
  </si>
  <si>
    <t>Business operations costs are rough approximations</t>
  </si>
  <si>
    <t xml:space="preserve">Data are estimated based on annually reported IOU electric costs. Actual customer price impacts will vary based on the vagaries of general rate cases, cost trackers, and other details. </t>
  </si>
  <si>
    <t>Includes customer accounts expenses, customer service and informational expenses, sales expenses, and administrative and general expenses</t>
  </si>
  <si>
    <t>Change from 2019 to 2025</t>
  </si>
  <si>
    <t>Component</t>
  </si>
  <si>
    <t>Transmission</t>
  </si>
  <si>
    <t xml:space="preserve">Distribution </t>
  </si>
  <si>
    <t>Business Operations</t>
  </si>
  <si>
    <t>Average IOU price</t>
  </si>
  <si>
    <t>Distribution costs: FERC Form 1 (see earlier sheet for more details)</t>
  </si>
  <si>
    <t>Transmission costs: Market monitor reports, ISO tariffs, regulatory filings, and many more (see earlier sheets for more details)</t>
  </si>
  <si>
    <t>Business operations: FERC Form 1 (see earlier sheet for more details)</t>
  </si>
  <si>
    <t>Regional IOU prices: EIA 861 and 861M</t>
  </si>
  <si>
    <t>Distribution impacts are rough approximations for reasons described in earlier sheet and only include infrastructuture-related CapEx and O&amp;M</t>
  </si>
  <si>
    <t>Estimated distribution price impact assumes a 1 year lag between costs and rates thus using 2018 and 2024 costs from FERC Form 1 to reflect approximate 2019-2025 price impacts</t>
  </si>
  <si>
    <t>However, a change in tax law impacted 2018 values, so for all regions except CAISO we used an average of 2017-2018 to estimate 2019 price impacts; for CAISO we only used 2017 costs for 2019 prices given PG&amp;E's bankrupty and its impact on skewing estimates in 2018-2019</t>
  </si>
  <si>
    <t>For business operations, as with distribution costs, price impact estimates assume a 1 year lag between costs and rates thus using 2018 and 2024 costs from FERC Form 1 to reflect approximate 2019-2025 price impacts</t>
  </si>
  <si>
    <t xml:space="preserve">However, CAISO data again require alternative treatment. Reported costs in 2018 spike, likely due in part to the PG&amp;E bankruptcy; we instead use 2017 data as likely a better approximation of rate impacts. Costs reported in 2024 are well below those reported in 2023; we use an average of 2023 and 2024 to reflect possible rate impacts in 2025, acknowledging uncertainty in this treatment. </t>
  </si>
  <si>
    <t>See earlier sheet for notes on transmission costs</t>
  </si>
  <si>
    <t>2025 retail price values are estimated based on the 2024-2025 growth rate in IOU bundled retail prices, as reported via EIA Form-861M, with adjustments in ERCOT and ISO-NE as necessary based on data adequacy and quality.</t>
  </si>
  <si>
    <t>Type of investment</t>
  </si>
  <si>
    <t>Distribution</t>
  </si>
  <si>
    <t>Adaptation, hardening, resilience</t>
  </si>
  <si>
    <t>Replacement</t>
  </si>
  <si>
    <t>Expansion</t>
  </si>
  <si>
    <t>TOTAL</t>
  </si>
  <si>
    <t>EEI: https://www.eei.org/-/media/Project/EEI/Documents/Issues-and-Policy/Finance-And-Tax/Adaptation-Hardening-Resilience.pdf</t>
  </si>
  <si>
    <t>Adaptation, hardening and resilience includes the sum of: (1) hardening and resiliency, and (2) advanced technologies</t>
  </si>
  <si>
    <t>Percentage increase relative to 1/1/2019</t>
  </si>
  <si>
    <t>Month/year</t>
  </si>
  <si>
    <t>Switchgear</t>
  </si>
  <si>
    <t>Transformers</t>
  </si>
  <si>
    <t>Wire &amp; cable</t>
  </si>
  <si>
    <t>Wood poles</t>
  </si>
  <si>
    <t>Electrical contractors</t>
  </si>
  <si>
    <t>Structural metal</t>
  </si>
  <si>
    <t>CPI</t>
  </si>
  <si>
    <t xml:space="preserve">U.S. Bureau of Labor Statistics, retreived from FRED, Federal Reserve Bank of St. Louis </t>
  </si>
  <si>
    <t>Switchgear: Producer Price Index by Industry: Switchgear and Switchboard Apparatus Manufacturing (PCU335313335313)--https://fred.stlouisfed.org/series/PCU335313335313</t>
  </si>
  <si>
    <t>Transformers: Producer Price Index by Commodity: Machinery and Equipment: Power and Distribution Transformers, Except Parts (WPU117409)--https://fred.stlouisfed.org/series/WPU117409</t>
  </si>
  <si>
    <t>Wire &amp; cable: Producer Price Index by Industry: Other Communication and Energy Wire Manufacturing: Power Wire and Cable, Made from Nonferrous Metals (Purchased Wire) (PCU3359293359291)--https://fred.stlouisfed.org/series/PCU3359293359291</t>
  </si>
  <si>
    <t>Wood poles: 
Producer Price Index by Commodity: Lumber and Wood Products: Wood Poles, Piles, and Posts Owned and Treated by the Same Establishment (WPU08710101)--https://fred.stlouisfed.org/series/WPU08710101</t>
  </si>
  <si>
    <t>Electrical contractors: Producer Price Index by Industry: Electrical Contractors, Nonresidential Building Work (PCU23821X23821X)--https://fred.stlouisfed.org/series/PCU23821X23821X</t>
  </si>
  <si>
    <t>Structural metal: Producer Price Index by Commodity: Metals and Metal Products: Fabricated Structural Metal Products (WPU107)--https://fred.stlouisfed.org/series/WPU107</t>
  </si>
  <si>
    <t>CPI: Historical Consumer Price Index for All Urban Consumers (CPI-U): U.S. city average, all items, by month--https://www.bls.gov/cpi/tables/supplemental-files/</t>
  </si>
  <si>
    <t>Utility</t>
  </si>
  <si>
    <t>State</t>
  </si>
  <si>
    <t>Duration</t>
  </si>
  <si>
    <t>Price impact (cents/kWh)</t>
  </si>
  <si>
    <t>Normalized 1-year cost estimate (cents/kWh)</t>
  </si>
  <si>
    <t>Duke Energy Florida</t>
  </si>
  <si>
    <t>FL</t>
  </si>
  <si>
    <t>1-year</t>
  </si>
  <si>
    <t>Central Maine Power</t>
  </si>
  <si>
    <t>ME</t>
  </si>
  <si>
    <t>2-years</t>
  </si>
  <si>
    <t>Tampa Electric Company</t>
  </si>
  <si>
    <t>1.5-years</t>
  </si>
  <si>
    <t>Entergy Louisiana</t>
  </si>
  <si>
    <t>LA</t>
  </si>
  <si>
    <t>15-years</t>
  </si>
  <si>
    <t>Florida Power &amp; Light</t>
  </si>
  <si>
    <t>Central Florida Electric Coop.</t>
  </si>
  <si>
    <t>temporary</t>
  </si>
  <si>
    <t>NYSEG</t>
  </si>
  <si>
    <t>NY</t>
  </si>
  <si>
    <t>6-12 years</t>
  </si>
  <si>
    <t>SWEPCO</t>
  </si>
  <si>
    <t>14-years</t>
  </si>
  <si>
    <t>Eversource</t>
  </si>
  <si>
    <t>CT</t>
  </si>
  <si>
    <t>proposed</t>
  </si>
  <si>
    <t>Duke Energy Progress</t>
  </si>
  <si>
    <t>SC</t>
  </si>
  <si>
    <t>20-years</t>
  </si>
  <si>
    <t>CLECO</t>
  </si>
  <si>
    <t>9-20 years</t>
  </si>
  <si>
    <t>Oncor</t>
  </si>
  <si>
    <t>TX</t>
  </si>
  <si>
    <t>long-term</t>
  </si>
  <si>
    <t>National Grid</t>
  </si>
  <si>
    <t>MA</t>
  </si>
  <si>
    <t>5-years</t>
  </si>
  <si>
    <t>NC</t>
  </si>
  <si>
    <t>Green Mountain Power</t>
  </si>
  <si>
    <t>VT</t>
  </si>
  <si>
    <t>Georgia Power</t>
  </si>
  <si>
    <t>GA</t>
  </si>
  <si>
    <t>4-years</t>
  </si>
  <si>
    <t>Centerpoint</t>
  </si>
  <si>
    <t>Entergy Texas</t>
  </si>
  <si>
    <t>Rochester Gas &amp; Electric</t>
  </si>
  <si>
    <t>10-years</t>
  </si>
  <si>
    <t>Duke Energy Carolinas</t>
  </si>
  <si>
    <t>PPL Electric</t>
  </si>
  <si>
    <t>PA</t>
  </si>
  <si>
    <t>PSE&amp;G</t>
  </si>
  <si>
    <t>NJ</t>
  </si>
  <si>
    <t>AEP Texas</t>
  </si>
  <si>
    <t>5-15 years</t>
  </si>
  <si>
    <t>Portland General Electric</t>
  </si>
  <si>
    <t>OR</t>
  </si>
  <si>
    <t>7-years</t>
  </si>
  <si>
    <t>LBNL review of regulatory filings, tariffs, articles, etc.</t>
  </si>
  <si>
    <t>Price estimate represents actual or likely impact on (mostly) residential retail prices in year shown (or the starting year), but some cost recovery mechanisms are short duration (i.e., the reported impact is temporary) whereas in other cases costs are securitized and the reported price impacts will persist for as many as 20+ years. Normalized 1-year cost estimates represent the total costs recovered over the recovery period divided by one year's of retail sales, and reflect the retail price impact that could occur if costs were recovered in a single year. Data are imperfect and should only be used to illustrate the wide range of and significant impacts. Includes recent estimates for only a subset of utilities.</t>
  </si>
  <si>
    <t>Equivalent impact (cents/kWh)</t>
  </si>
  <si>
    <t>Scope</t>
  </si>
  <si>
    <t>PG&amp;E</t>
  </si>
  <si>
    <t>CA</t>
  </si>
  <si>
    <t>actual price: mitigation &amp; liability</t>
  </si>
  <si>
    <t>SDG&amp;E</t>
  </si>
  <si>
    <t>SCE</t>
  </si>
  <si>
    <t>KIUC</t>
  </si>
  <si>
    <t>HI</t>
  </si>
  <si>
    <t>proposed cost: mitigation</t>
  </si>
  <si>
    <t>Hawaii Electric</t>
  </si>
  <si>
    <t>PSCo</t>
  </si>
  <si>
    <t>CO</t>
  </si>
  <si>
    <t>estimated price: mitigation</t>
  </si>
  <si>
    <t>Rocky Mountain Power</t>
  </si>
  <si>
    <t>UT</t>
  </si>
  <si>
    <t>PGE</t>
  </si>
  <si>
    <t>actual price: mitigation</t>
  </si>
  <si>
    <t>WY</t>
  </si>
  <si>
    <t>Idaho Power</t>
  </si>
  <si>
    <t>ID</t>
  </si>
  <si>
    <t>Pacific Power</t>
  </si>
  <si>
    <t>Northwestern</t>
  </si>
  <si>
    <t>MT</t>
  </si>
  <si>
    <t>APS</t>
  </si>
  <si>
    <t>AZ</t>
  </si>
  <si>
    <t>actual cost: mitigation</t>
  </si>
  <si>
    <t>Nevada Power-North</t>
  </si>
  <si>
    <t>NV</t>
  </si>
  <si>
    <t>Avista</t>
  </si>
  <si>
    <t>WA</t>
  </si>
  <si>
    <t>PNM</t>
  </si>
  <si>
    <t>NM</t>
  </si>
  <si>
    <t>PSE</t>
  </si>
  <si>
    <t>SPS</t>
  </si>
  <si>
    <t>Nevada Power-South</t>
  </si>
  <si>
    <t>Includes estimates for a subset of electric utilities. Data shown are not always equivalent to retail price impact, and are not fully comparable with one another. Cost estimates are recent (e.g., 2025) or projected, and normalized by retail sales. Data do not always equate to retail prices, and are not fully comparable given different scopes (e.g., liability insurance is only included in a subset), tariff surcharges vs. balancing accounts vs. revenue requirements, different mixes of CapEx and OpEx, etc. Data should therefore only be used to illustrate wide range of and significant impacts.</t>
  </si>
  <si>
    <t>2025 or 2024</t>
  </si>
  <si>
    <t>Change</t>
  </si>
  <si>
    <t>MD</t>
  </si>
  <si>
    <t>RI</t>
  </si>
  <si>
    <t>IL</t>
  </si>
  <si>
    <t>OH</t>
  </si>
  <si>
    <t>MO</t>
  </si>
  <si>
    <t>NH</t>
  </si>
  <si>
    <t>MI</t>
  </si>
  <si>
    <t>State PUC compliance reports</t>
  </si>
  <si>
    <t>Marex Spectrometer (REC prices)</t>
  </si>
  <si>
    <t>Compliance costs in vertically integrated states are based primarily on PUC and/or utility estimates, as reported, and may reflect varying methodologies</t>
  </si>
  <si>
    <t>Compliance costs for retail choice states are based primarily on PUC-reported average REC prices, where available; otherwise based primarily on spot market REC prices and above-market cost of long-term RPS contracts</t>
  </si>
  <si>
    <t>Compliance costs for the final year are based on 2025 data if available; otherwise 2024 data are used</t>
  </si>
  <si>
    <t>AK</t>
  </si>
  <si>
    <t>AL</t>
  </si>
  <si>
    <t>AR</t>
  </si>
  <si>
    <t>DC</t>
  </si>
  <si>
    <t>DE</t>
  </si>
  <si>
    <t>IA</t>
  </si>
  <si>
    <t>IN</t>
  </si>
  <si>
    <t>KS</t>
  </si>
  <si>
    <t>KY</t>
  </si>
  <si>
    <t>MN</t>
  </si>
  <si>
    <t>MS</t>
  </si>
  <si>
    <t>ND</t>
  </si>
  <si>
    <t>NE</t>
  </si>
  <si>
    <t>OK</t>
  </si>
  <si>
    <t>SD</t>
  </si>
  <si>
    <t>TN</t>
  </si>
  <si>
    <t>VA</t>
  </si>
  <si>
    <t>WI</t>
  </si>
  <si>
    <t>WV</t>
  </si>
  <si>
    <t>EIA861 (2010-2024) and EIA861M (2025)</t>
  </si>
  <si>
    <t>Annual energy production estimates based on state-specific capacity factors derived from NLR's PVWatts</t>
  </si>
  <si>
    <t>Type:</t>
  </si>
  <si>
    <t>modeled impact on wholesale prices some years, scaled to others</t>
  </si>
  <si>
    <t>modeled impact on load-weighted wholesale prices</t>
  </si>
  <si>
    <t>cost impact on natural gas (7500 BTU/kWh heat rate)</t>
  </si>
  <si>
    <t>cost impact on natural gas (8000 BTU/kWh heat rate)</t>
  </si>
  <si>
    <t>PJM: State of the Market Reports: 2025 and earlier: https://www.monitoringanalytics.com/reports/PJM_State_of_the_Market/2025.shtml</t>
  </si>
  <si>
    <t>NYISO: State of the Market Report: 2024: https://www.potomaceconomics.com/wp-content/uploads/2025/05/NYISO-2024-SOM-Full-Report_5-14-2025-final.pdf</t>
  </si>
  <si>
    <t>NE-ISO: Internal Market Monitor State of the Market Report 2024, and earlier: https://www.iso-ne.com/static-assets/documents/100023/2024-annual-markets-report.pdf</t>
  </si>
  <si>
    <t>CAISO: State of the Market Report 2024 and previous ones: https://www.caiso.com/documents/2024-annual-report-on-market-issues-and-performance-aug-07-2025.pdf</t>
  </si>
  <si>
    <t>WA: CAISO State of the Market Report 2024: https://www.caiso.com/documents/2024-annual-report-on-market-issues-and-performance-aug-07-2025.pdf</t>
  </si>
  <si>
    <t>2025: Estimated values for NYISO, ISO-NE, CAISO, and WA based on carbon allowance auction results</t>
  </si>
  <si>
    <t>Absolute numerical values across states are not fully comparable, as per differences in "type" noted above</t>
  </si>
  <si>
    <t>Wind + solar share change (2019-2025)</t>
  </si>
  <si>
    <t>State load (TWh/yr)</t>
  </si>
  <si>
    <t>Binding RPS</t>
  </si>
  <si>
    <t>Market based</t>
  </si>
  <si>
    <t>861M preliminary data used for latest year</t>
  </si>
  <si>
    <t>Average natural gas share of generation (2019-2025)</t>
  </si>
  <si>
    <t>Average natural gas share state grouping (2019-2025)</t>
  </si>
  <si>
    <t>Simple average coefficient of variation for grouping (2019-2025)</t>
  </si>
  <si>
    <t>&gt;25%</t>
  </si>
  <si>
    <t>&lt;25%</t>
  </si>
  <si>
    <t>Note: Excludes Alaska and Hawaii</t>
  </si>
  <si>
    <t>real 2025$</t>
  </si>
  <si>
    <t>Non-ISO West</t>
  </si>
  <si>
    <t>Non-ISO SE</t>
  </si>
  <si>
    <t>Retail price (cents/kWh)</t>
  </si>
  <si>
    <t>Wholesale energy price (cents/kWh)</t>
  </si>
  <si>
    <t>Natural gas price ($/Mcf)</t>
  </si>
  <si>
    <t>Wholesale price energy (cents/kWh)</t>
  </si>
  <si>
    <t>nominal $</t>
  </si>
  <si>
    <t>Natural gas hub prices for ISO regions: Hitachi Energy Velocity</t>
  </si>
  <si>
    <t xml:space="preserve">Retail electricity prices by region: EIA </t>
  </si>
  <si>
    <t>Wholesale prices: Development of load-weighted averages involved selecting specific pricing hubs, then roughly weighting them based on load volumes</t>
  </si>
  <si>
    <t>Retail electricity prices: Latest year data required some approximation</t>
  </si>
  <si>
    <t>Average coal+nuclear share of generation (2019-2025)</t>
  </si>
  <si>
    <t>Retirements of coal, gas, oil, and nuclear, 2019-2025 (MW)</t>
  </si>
  <si>
    <t>Retirements (MW) / retail sales (TWh)</t>
  </si>
  <si>
    <t>Retirements: EIA 860M: https://www.eia.gov/electricity/data/eia860m/</t>
  </si>
  <si>
    <t>Prices and sales: EIA 861M: https://www.eia.gov/electricity/monthly/</t>
  </si>
  <si>
    <t>Prices and sales: EIA 861: https://www.eia.gov/electricity/data/browser</t>
  </si>
  <si>
    <t>Market monitor reports, ISO documents</t>
  </si>
  <si>
    <t>Focuses on three ISOs that procure a sizable fraction of needed capacity through organized markets</t>
  </si>
  <si>
    <t>MISO is excluded because market reflects a relatively small share of overall capacity needs</t>
  </si>
  <si>
    <t>CAISO has resource adequacy requirements, but no organized capacity market</t>
  </si>
  <si>
    <t>SPP and ERCOT lack regional capacity markets</t>
  </si>
  <si>
    <t>Cost estimate -  Nominal: not inflation adjusted, cents/kWh</t>
  </si>
  <si>
    <t>Cost estimate - Real 2025$: inflation adjusted, cents/kWh</t>
  </si>
  <si>
    <t>Estimated price: 2019-2025</t>
  </si>
  <si>
    <t>Price impact estimate - Nominal: not inflation adjusted, cents/kWh (National)</t>
  </si>
  <si>
    <t>Price impact estimate - Real 2025$: inflation adjusted, cents/kWh (National)</t>
  </si>
  <si>
    <t>Interest</t>
  </si>
  <si>
    <t>Net Income</t>
  </si>
  <si>
    <t>(based on 2018 costs; 2017 costs used for CAISO net income due to bankruptcy impacts in 2018)</t>
  </si>
  <si>
    <t>(based on 2024 data)</t>
  </si>
  <si>
    <t>Financing costs are rough approximations</t>
  </si>
  <si>
    <t>Cost estimates are reported costs for the listed year; price estimates assume a 1-year lag between costs and prices</t>
  </si>
  <si>
    <t>Includes interest expenses and net income, allocated to utility electric operations as needed</t>
  </si>
  <si>
    <t>Vertically Integrated States</t>
  </si>
  <si>
    <t>Other Retail Competition States</t>
  </si>
  <si>
    <t>IOU</t>
  </si>
  <si>
    <t>POU</t>
  </si>
  <si>
    <t>Competitive</t>
  </si>
  <si>
    <t>EIA 861 Long Form</t>
  </si>
  <si>
    <t>IOUs are investor owned utilities; POUs are public owned utilities (e.g. Co-ops, Munis)</t>
  </si>
  <si>
    <t xml:space="preserve">Average retail prices are weighted by a utility's residential sales </t>
  </si>
  <si>
    <t>Alaska and Hawaii are not included in these data</t>
  </si>
  <si>
    <t>In California, competitive retailers are mostly comprised of Community Choice Aggregators (CCAs). We assign each CCA to a corresponding IOU to determine the T&amp;D delivery portion of their retail price.</t>
  </si>
  <si>
    <t>Other retail competition states include: CT, DE, IL, MA, MD, ME, NH, NJ, NY, OH, PA, RI, DC, and TX (if the utility is not within the ERCOT balancing area, which is broken out separately in the data)</t>
  </si>
  <si>
    <t>We determine the T&amp;D delivery portion of competitive suppliers by adding the average delivery charge in each state to the energy component of a competitive retailer's retail price</t>
  </si>
  <si>
    <t>Vertically integrated states are all remaining states not mentioned above</t>
  </si>
  <si>
    <t>Terawatt-hours</t>
  </si>
  <si>
    <t>MILLION KWH</t>
  </si>
  <si>
    <t>All sectors</t>
  </si>
  <si>
    <t>C&amp;I</t>
  </si>
  <si>
    <t>Total Percent Growth</t>
  </si>
  <si>
    <t>2010-2019</t>
  </si>
  <si>
    <t>2023-2025</t>
  </si>
  <si>
    <t>CAGR</t>
  </si>
  <si>
    <t>Proportional Contribution to Growth</t>
  </si>
  <si>
    <t>EIA: https://www.eia.gov/electricity/data/browser/</t>
  </si>
  <si>
    <t>Commercial and industrial definitions are not fully standardized across data providers, so we combine these two sectors here</t>
  </si>
  <si>
    <t>Retail sales, million kWh: 2019</t>
  </si>
  <si>
    <t>Retail sales, million kWh: 2020</t>
  </si>
  <si>
    <t>Retail sales, million kWh: 2021</t>
  </si>
  <si>
    <t>Retail sales, million kWh: 2022</t>
  </si>
  <si>
    <t>Retail sales, million kWh: 2023</t>
  </si>
  <si>
    <t>Retail sales, million kWh: 2024</t>
  </si>
  <si>
    <t>Retail sales, million kWh: 2025</t>
  </si>
  <si>
    <t>% change, 2019-2024</t>
  </si>
  <si>
    <t>% change, 2019-2025</t>
  </si>
  <si>
    <t>% change, 2023-2025</t>
  </si>
  <si>
    <t>% change, 2024-2025</t>
  </si>
  <si>
    <t>All-sectors: 2019-2025 price change (2025$, cents/kWh)</t>
  </si>
  <si>
    <t>Residential: 2019-2025 price change (2025$, cents/kWh)</t>
  </si>
  <si>
    <t>Retail sales % change, 2019-2025</t>
  </si>
  <si>
    <t>Data center &amp; cryptocurrency capacity growth from 2019 to 2024 relative to 2019 state load</t>
  </si>
  <si>
    <t>Low Growth</t>
  </si>
  <si>
    <t>High Growth</t>
  </si>
  <si>
    <t>Medium Growth</t>
  </si>
  <si>
    <t>Very High Growth</t>
  </si>
  <si>
    <t>S&amp;P Global, 451 Research Datacenter Knowledgebase</t>
  </si>
  <si>
    <t>Retail sales in 2019, MWh</t>
  </si>
  <si>
    <t>Retail sales in 2024, MWh</t>
  </si>
  <si>
    <t>Retail sales % change</t>
  </si>
  <si>
    <t>Retail sales in 2024, GWh</t>
  </si>
  <si>
    <t>Utility type</t>
  </si>
  <si>
    <t>mountrail-williams elec coop</t>
  </si>
  <si>
    <t>Coop</t>
  </si>
  <si>
    <t>montana-dakota utilities co</t>
  </si>
  <si>
    <t>nodak electric coop inc</t>
  </si>
  <si>
    <t>goldenwest electric coop, inc</t>
  </si>
  <si>
    <t>city of stanton - (nd)</t>
  </si>
  <si>
    <t>Muni</t>
  </si>
  <si>
    <t>sheridan electric coop, inc</t>
  </si>
  <si>
    <t>kem electric coop inc</t>
  </si>
  <si>
    <t>lower yellowstone r e a, inc</t>
  </si>
  <si>
    <t>mclean electric coop, inc</t>
  </si>
  <si>
    <t>city of sharon- (nd)</t>
  </si>
  <si>
    <t>city of grafton - (nd)</t>
  </si>
  <si>
    <t>otter tail power co</t>
  </si>
  <si>
    <t>city of riverdale - (nd)</t>
  </si>
  <si>
    <t>roughrider electric cooperativ</t>
  </si>
  <si>
    <t>city of park river - (nd)</t>
  </si>
  <si>
    <t>mckenzie electric coop inc</t>
  </si>
  <si>
    <t>mor-gran-sou electric coop inc</t>
  </si>
  <si>
    <t>burke-divide electric coop inc</t>
  </si>
  <si>
    <t>city of cavalier - (nd)</t>
  </si>
  <si>
    <t>city of lakota - (nd)</t>
  </si>
  <si>
    <t>cass county elec coop inc</t>
  </si>
  <si>
    <t>northern plains electric coop</t>
  </si>
  <si>
    <t>city of hillsboro - (nd)</t>
  </si>
  <si>
    <t>dakota valley elec coop inc</t>
  </si>
  <si>
    <t>verendrye electric coop inc</t>
  </si>
  <si>
    <t>north central elec coop, inc</t>
  </si>
  <si>
    <t>traverse electric coop, inc</t>
  </si>
  <si>
    <t>city of hope</t>
  </si>
  <si>
    <t>capital electric coop, inc</t>
  </si>
  <si>
    <t>city of northwood - (nd)</t>
  </si>
  <si>
    <t>slope electric coop inc</t>
  </si>
  <si>
    <t>northern states power co - minnesota</t>
  </si>
  <si>
    <t>city of valley city</t>
  </si>
  <si>
    <t>wapa-- western area power administration</t>
  </si>
  <si>
    <t>basin electric power coop</t>
  </si>
  <si>
    <t>village of wilcox - (ne)</t>
  </si>
  <si>
    <t>city of mitchell - (ne)</t>
  </si>
  <si>
    <t>city of arapahoe - (ne)</t>
  </si>
  <si>
    <t>northwest rural pub pwr dist</t>
  </si>
  <si>
    <t>village of polk - (ne)</t>
  </si>
  <si>
    <t>custer public power district</t>
  </si>
  <si>
    <t>south central public pwr dist</t>
  </si>
  <si>
    <t>city of superior - (ne)</t>
  </si>
  <si>
    <t>city of curtis - (ne)</t>
  </si>
  <si>
    <t>howard greeley rural p p d</t>
  </si>
  <si>
    <t>village of arnold - (ne)</t>
  </si>
  <si>
    <t>wyrulec company</t>
  </si>
  <si>
    <t>north central public pwr dist</t>
  </si>
  <si>
    <t>city of stuart - (ne)</t>
  </si>
  <si>
    <t>village of oxford - (ne)</t>
  </si>
  <si>
    <t>stanton county public pwr dist</t>
  </si>
  <si>
    <t>city of gering - (ne)</t>
  </si>
  <si>
    <t>southern public power district</t>
  </si>
  <si>
    <t>city of fairbury</t>
  </si>
  <si>
    <t>niobrara electric assn, inc</t>
  </si>
  <si>
    <t>village of bartley - (ne)</t>
  </si>
  <si>
    <t>panhandle rural el member assn</t>
  </si>
  <si>
    <t>kbr rural public power district</t>
  </si>
  <si>
    <t>midwest electric member corp - (ne)</t>
  </si>
  <si>
    <t>elkhorn rural public pwr dist</t>
  </si>
  <si>
    <t>village of brainard - (ne)</t>
  </si>
  <si>
    <t>city of franklin - (ne)</t>
  </si>
  <si>
    <t>high west energy, inc</t>
  </si>
  <si>
    <t>city of red cloud - (ne)</t>
  </si>
  <si>
    <t>city of imperial</t>
  </si>
  <si>
    <t>cherry-todd electric coop, inc</t>
  </si>
  <si>
    <t>city of burwell - (ne)</t>
  </si>
  <si>
    <t>city of st paul - (ne)</t>
  </si>
  <si>
    <t>village of campbell - (ne)</t>
  </si>
  <si>
    <t>polk county rural pub pwr dist</t>
  </si>
  <si>
    <t>city of giltner - (ne)</t>
  </si>
  <si>
    <t>niobrara valley el member corp</t>
  </si>
  <si>
    <t>city of chappell - (ne)</t>
  </si>
  <si>
    <t>city of ansley - (ne)</t>
  </si>
  <si>
    <t>city of sutton - (ne)</t>
  </si>
  <si>
    <t>city of grant - (ne)</t>
  </si>
  <si>
    <t>lacreek electric assn, inc</t>
  </si>
  <si>
    <t>loup valleys rural p p d</t>
  </si>
  <si>
    <t>city of david city</t>
  </si>
  <si>
    <t>city of hubbell- (ne)</t>
  </si>
  <si>
    <t>village of mullen - (ne)</t>
  </si>
  <si>
    <t>city of gothenburg - (ne)</t>
  </si>
  <si>
    <t>city of south sioux city</t>
  </si>
  <si>
    <t>city of pender - (ne)</t>
  </si>
  <si>
    <t>twin valleys public power dist</t>
  </si>
  <si>
    <t>butler public power district - (ne)</t>
  </si>
  <si>
    <t>highline electric assn</t>
  </si>
  <si>
    <t>city of west point - (ne)</t>
  </si>
  <si>
    <t>city of stromsburg - (ne)</t>
  </si>
  <si>
    <t>city of bridgeport utilities - (ne)</t>
  </si>
  <si>
    <t>village of chester - (ne)</t>
  </si>
  <si>
    <t>dawson power district</t>
  </si>
  <si>
    <t>nebraska public power district</t>
  </si>
  <si>
    <t>city of sargent - (ne)</t>
  </si>
  <si>
    <t>chimney rock public power dist</t>
  </si>
  <si>
    <t>city of alliance- (ne)</t>
  </si>
  <si>
    <t>village of fairmont - (ne)</t>
  </si>
  <si>
    <t>city of indianola - (ne)</t>
  </si>
  <si>
    <t>cedar-knox public power dist</t>
  </si>
  <si>
    <t>city of deshler - (ne)</t>
  </si>
  <si>
    <t>city of wisner</t>
  </si>
  <si>
    <t>city of broken bow - (ne)</t>
  </si>
  <si>
    <t>southwest public power dist</t>
  </si>
  <si>
    <t>city of laurel - (ne)</t>
  </si>
  <si>
    <t>cornhusker public power dist</t>
  </si>
  <si>
    <t>village of endicott - (ne)</t>
  </si>
  <si>
    <t>burt county public power dist</t>
  </si>
  <si>
    <t>y-w electric assn inc</t>
  </si>
  <si>
    <t>city of minden - (ne)</t>
  </si>
  <si>
    <t>city of battle creek- (ne)</t>
  </si>
  <si>
    <t>city of wayne</t>
  </si>
  <si>
    <t>village of prague - (ne)</t>
  </si>
  <si>
    <t>city of emerson - (ne)</t>
  </si>
  <si>
    <t>city of spencer - (ne)</t>
  </si>
  <si>
    <t>city of central city</t>
  </si>
  <si>
    <t>city of bayard - (ne)</t>
  </si>
  <si>
    <t>village of davenport - (ne)</t>
  </si>
  <si>
    <t>city of blue hill - (ne)</t>
  </si>
  <si>
    <t>city of syracuse - (ne)</t>
  </si>
  <si>
    <t>village of wauneta - (ne)</t>
  </si>
  <si>
    <t>city of kimball - (ne)</t>
  </si>
  <si>
    <t>village of walthill - (ne)</t>
  </si>
  <si>
    <t>city of valentine - (ne)</t>
  </si>
  <si>
    <t>omaha public power district</t>
  </si>
  <si>
    <t>city of wymore - (ne)</t>
  </si>
  <si>
    <t>roosevelt public power dist</t>
  </si>
  <si>
    <t>city of stratton - (ne)</t>
  </si>
  <si>
    <t>city of beatrice - (ne)</t>
  </si>
  <si>
    <t>village of spalding - (ne)</t>
  </si>
  <si>
    <t>norris public power district</t>
  </si>
  <si>
    <t>city of ord - (ne)</t>
  </si>
  <si>
    <t>village of dorchester - (ne)</t>
  </si>
  <si>
    <t>city of sidney - (ne)</t>
  </si>
  <si>
    <t>city of wilber</t>
  </si>
  <si>
    <t>city of lexington - (ne)</t>
  </si>
  <si>
    <t>wheat belt public power dist</t>
  </si>
  <si>
    <t>perennial public power dist</t>
  </si>
  <si>
    <t>city of seward - (ne)</t>
  </si>
  <si>
    <t>city of scribner - (ne)</t>
  </si>
  <si>
    <t>village of callaway - (ne)</t>
  </si>
  <si>
    <t>loup river public power dist</t>
  </si>
  <si>
    <t>city of pierce - (ne)</t>
  </si>
  <si>
    <t>city of tecumseh</t>
  </si>
  <si>
    <t>city of holdrege</t>
  </si>
  <si>
    <t>city of lyons - (ne)</t>
  </si>
  <si>
    <t>cuming county public pwr dist</t>
  </si>
  <si>
    <t>village of reynolds - (ne)</t>
  </si>
  <si>
    <t>northeast power</t>
  </si>
  <si>
    <t>city of snyder - (ne)</t>
  </si>
  <si>
    <t>city of hickman - (ne)</t>
  </si>
  <si>
    <t>city of crete</t>
  </si>
  <si>
    <t>village of morrill - (ne)</t>
  </si>
  <si>
    <t>city of fremont - (ne)</t>
  </si>
  <si>
    <t>auburn board of public works</t>
  </si>
  <si>
    <t>city of hastings - (ne)</t>
  </si>
  <si>
    <t>city of randolph - (ne)</t>
  </si>
  <si>
    <t>village of greenwood - (ne)</t>
  </si>
  <si>
    <t>city of north platte</t>
  </si>
  <si>
    <t>city of schuyler - (ne)</t>
  </si>
  <si>
    <t>lincoln electric system</t>
  </si>
  <si>
    <t>cozad board of public works</t>
  </si>
  <si>
    <t>city of wahoo - (ne)</t>
  </si>
  <si>
    <t>village of hildreth - (ne)</t>
  </si>
  <si>
    <t>city of nelson - (ne)</t>
  </si>
  <si>
    <t>mccook public power district</t>
  </si>
  <si>
    <t>city of grand island - (ne)</t>
  </si>
  <si>
    <t>city of nebraska city</t>
  </si>
  <si>
    <t>city of wakefield - (ne)</t>
  </si>
  <si>
    <t>village of hampton - (ne)</t>
  </si>
  <si>
    <t>city of neligh - (ne)</t>
  </si>
  <si>
    <t>city of lodgepole - (ne)</t>
  </si>
  <si>
    <t>village of lyman - (ne)</t>
  </si>
  <si>
    <t>city of wood river- (ne)</t>
  </si>
  <si>
    <t>city of trenton - (ne)</t>
  </si>
  <si>
    <t>city of beaver city - (ne)</t>
  </si>
  <si>
    <t>village of shickley - (ne)</t>
  </si>
  <si>
    <t>village of hemingford - (ne)</t>
  </si>
  <si>
    <t>city of falls city - (ne)</t>
  </si>
  <si>
    <t>city of cambridge - (ne)</t>
  </si>
  <si>
    <t>city of madison - (ne)</t>
  </si>
  <si>
    <t>village of winside - (ne)</t>
  </si>
  <si>
    <t>city of benkelman - (ne)</t>
  </si>
  <si>
    <t>village of bradshaw - (ne)</t>
  </si>
  <si>
    <t>town of springer - (nm)</t>
  </si>
  <si>
    <t>mora-san miguel elec coop</t>
  </si>
  <si>
    <t>sierra electric coop, inc</t>
  </si>
  <si>
    <t>kit carson electric coop, inc</t>
  </si>
  <si>
    <t>otero county electric coop inc</t>
  </si>
  <si>
    <t>central new mexico el coop, inc</t>
  </si>
  <si>
    <t>columbus electric coop, inc</t>
  </si>
  <si>
    <t>socorro electric coop, inc</t>
  </si>
  <si>
    <t>northern rio arriba e coop inc</t>
  </si>
  <si>
    <t>el paso electric co</t>
  </si>
  <si>
    <t>duncan valley elec coop, inc</t>
  </si>
  <si>
    <t>navopache electric coop, inc</t>
  </si>
  <si>
    <t>city of truth or consequences - (nm)</t>
  </si>
  <si>
    <t>southwestern public service co</t>
  </si>
  <si>
    <t>southwestern electric coop inc - (nm)</t>
  </si>
  <si>
    <t>rio grande electric coop, inc</t>
  </si>
  <si>
    <t>springer electric coop, inc</t>
  </si>
  <si>
    <t>raton public service company</t>
  </si>
  <si>
    <t>public service co of nm</t>
  </si>
  <si>
    <t>jemez mountains elec coop, inc</t>
  </si>
  <si>
    <t>central valley elec coop, inc</t>
  </si>
  <si>
    <t>city of aztec - (nm)</t>
  </si>
  <si>
    <t>continental divide el coop inc</t>
  </si>
  <si>
    <t>lea county electric coop, inc</t>
  </si>
  <si>
    <t>farmers electric coop, inc - (nm)</t>
  </si>
  <si>
    <t>city of farmington - (nm)</t>
  </si>
  <si>
    <t>roosevelt county elec coop inc</t>
  </si>
  <si>
    <t>city of gallup - (nm)</t>
  </si>
  <si>
    <t>navajo tribal utility authority</t>
  </si>
  <si>
    <t>los alamos county</t>
  </si>
  <si>
    <t>tri-county electric coop, inc (ok)</t>
  </si>
  <si>
    <t>Utility Grouping</t>
  </si>
  <si>
    <t>Residential Load Growth</t>
  </si>
  <si>
    <t>Residential Price Change (2025$, cents/kWh)</t>
  </si>
  <si>
    <t>C&amp;I Load Growth</t>
  </si>
  <si>
    <t>C&amp;I Price Change (2025$, cents/kWh)</t>
  </si>
  <si>
    <t>High Load Growth: &gt;20%</t>
  </si>
  <si>
    <t>Low Load Growth: 0-20%</t>
  </si>
  <si>
    <t>Negative Load Growth: &lt;0%</t>
  </si>
  <si>
    <t>GWh, 2019</t>
  </si>
  <si>
    <t>GWh, 2024</t>
  </si>
  <si>
    <t>Coal</t>
  </si>
  <si>
    <t>Wind</t>
  </si>
  <si>
    <t>Gas &amp; oil</t>
  </si>
  <si>
    <t>Hydropower</t>
  </si>
  <si>
    <t>Retail sales, GWh</t>
  </si>
  <si>
    <t>Wind &amp; solar</t>
  </si>
  <si>
    <t>Nuclear</t>
  </si>
  <si>
    <t>EIA: https://www.eia.gov/electricity/annual/</t>
  </si>
  <si>
    <t>nominal $/MW-day</t>
  </si>
  <si>
    <t>$2025/MW-day</t>
  </si>
  <si>
    <t>2018/2019</t>
  </si>
  <si>
    <t>2019/2020</t>
  </si>
  <si>
    <t>2020/2021</t>
  </si>
  <si>
    <t>2021/2022</t>
  </si>
  <si>
    <t>2022/2023</t>
  </si>
  <si>
    <t>2023/2024</t>
  </si>
  <si>
    <t>2024/2025</t>
  </si>
  <si>
    <t>2025/2026</t>
  </si>
  <si>
    <t>2026/2027</t>
  </si>
  <si>
    <t>2027/2028</t>
  </si>
  <si>
    <t>PJM IMM: https://www.monitoringanalytics.com/reports/PJM_State_of_the_Market/2025/2025q3-som-pjm.pdf; https://www.pjm.com/-/media/DotCom/markets-ops/rpm/rpm-auction-info/2027-2028/2027-2028-bra-report.pdf</t>
  </si>
  <si>
    <t>Residential: % increase</t>
  </si>
  <si>
    <t>Commercial: % increase</t>
  </si>
  <si>
    <t>Industrial: % increase</t>
  </si>
  <si>
    <t>CPI: % increase</t>
  </si>
  <si>
    <t>Residential: nominal, cents/kWh</t>
  </si>
  <si>
    <t>Commercial: nominal, cents/kWh</t>
  </si>
  <si>
    <t>Industrial: nominal, cents/kWh</t>
  </si>
  <si>
    <t>CPI, national</t>
  </si>
  <si>
    <t>Commercial / Residential</t>
  </si>
  <si>
    <t>Industrial / Residential</t>
  </si>
  <si>
    <t>RESIDENTIAL</t>
  </si>
  <si>
    <t>COMMERCIAL</t>
  </si>
  <si>
    <t>INDUSTRIAL</t>
  </si>
  <si>
    <t>Sales</t>
  </si>
  <si>
    <t>Price</t>
  </si>
  <si>
    <t>Megawatthours</t>
  </si>
  <si>
    <t>Cents/kWh</t>
  </si>
  <si>
    <t>STATE</t>
  </si>
  <si>
    <t>2025 C&amp;I discount</t>
  </si>
  <si>
    <t>Example statements that suggest possible benefits for other customers, but such outcomes are not assured and require monitoring</t>
  </si>
  <si>
    <t>Example</t>
  </si>
  <si>
    <t>Georgia PSC approved utility to serve new large loads, conditioned on growth placing downward pressure on bills of $8.50/mo for residential customers from 2029-2031</t>
  </si>
  <si>
    <t>DTE Energy</t>
  </si>
  <si>
    <t>Michigan PUC conditionally approved data center contracts that DTE estimates will lower residential costs by 8%; separate agreement with Google claimed to have $1.7 billion in lifetime benefits</t>
  </si>
  <si>
    <t>Montana-Dakota</t>
  </si>
  <si>
    <t>MDU estimates Applied Digital’s data centers saved customers $70 in previous year by tapping into underutilized power and, with full build, savings could rise to $250/year</t>
  </si>
  <si>
    <t>NIPSCO</t>
  </si>
  <si>
    <t>NIPSCO estimates $1 billion in bill credits over a 15-yr contract with Amazon data centers in Indiana, equal to residential bill savings of $7-9 per month in 2032 and beyond</t>
  </si>
  <si>
    <t>PG&amp;E estimates that 10 GW of data center growth could lower customer bills by 10% by utilizing existing infrastructure and spreading fixed costs across more electricity usage</t>
  </si>
  <si>
    <t>Entergy</t>
  </si>
  <si>
    <t xml:space="preserve">Entergy projects $5 billion in savings over 20 years for their customers in Arkansas, Louisiana and Mississippi due to the data center agreements in those states </t>
  </si>
  <si>
    <t>Centerpoint estimates ~$4 billion savings over 10 years for their Texas residential and commercial customers associated with 10 GW of new industrial load</t>
  </si>
  <si>
    <t>Xcel</t>
  </si>
  <si>
    <t>Xcel estimates that its contract with Google in Minnesota will result in $1.1 billion in total benefits for other customers over its 15-year term</t>
  </si>
  <si>
    <t>Georgia Power: https://psc.ga.gov/facts-advanced-search/document/?documentId=224772</t>
  </si>
  <si>
    <t>DTE Energy: https://www.michigan.gov/mpsc/commission/news-releases/2025/12/18/mpsc-approves-dte-electric-energy-contracts-for-data-center; https://mi-psc.my.site.com/sfc/servlet.shepherd/version/download/068cs00001pUwYcAAK</t>
  </si>
  <si>
    <t>Montana-Dakota: https://www.kvrr.com/2025/12/16/north-dakotas-delicate-electricity-price-balance-faces-challenges/</t>
  </si>
  <si>
    <t>NIPSCO: https://www.epri.com/research/products/000000003002034667</t>
  </si>
  <si>
    <t>PG&amp;E: https://www.pge.com/en/newsroom/press-release-details.a9a4dda5-372f-4c33-860f-df2837e9b57b.html</t>
  </si>
  <si>
    <t>Entergy: https://www.entergy.com/news/5b-in-customer-savings-delivered-by-data-center-agreements-issues-fair-share-plus-pledge</t>
  </si>
  <si>
    <t>Centerpoint: https://www.utilitydive.com/news/centerpoint-energy-data-center-load-earnings/818293/?</t>
  </si>
  <si>
    <t>Xcel: https://app.halcyon.io/documents/3981116d-8f91-439e-9fae-d8916622dbbe/attachment?page=30</t>
  </si>
  <si>
    <t>All-sector average</t>
  </si>
  <si>
    <t>Jan-Apr  2026 Average Retail Price (nominal, cents/kWh)</t>
  </si>
  <si>
    <t>Jan-Apr 2025 Average Retail Price (nominal, cents/kWh)</t>
  </si>
  <si>
    <t>Jan-Apr 2026 Average Retail Price (2025$, cents/kWh)</t>
  </si>
  <si>
    <t>Jan-Apr 2025 Average Retail Price (2025$, cents/kWh)</t>
  </si>
  <si>
    <t>% change</t>
  </si>
  <si>
    <t>Jan-Apr 2026 Average Retail Price (nominal, cents/kWh)</t>
  </si>
  <si>
    <t>Historical data on investor-owned utility revenue increase requests</t>
  </si>
  <si>
    <t>IOU revenue increase requests (2025$ billion)</t>
  </si>
  <si>
    <t>S&amp;P Global</t>
  </si>
  <si>
    <t>There are limitations to this dataset:</t>
  </si>
  <si>
    <t>¤ Rate cases mostly involve IOUs; other utility types do not generally file with state PUCs</t>
  </si>
  <si>
    <t>¤ Rate requests include base revenue requirements and some ride riders, but generally exclude limited-term rate riders for fuel adjustment and storm cost recovery</t>
  </si>
  <si>
    <t xml:space="preserve">¤ Comparing changes before and after the 1990s is impacted by restructuring with generation divestiture </t>
  </si>
  <si>
    <t>Regulatory acceptance of investor-owned utility revenue increase requests</t>
  </si>
  <si>
    <t>Weighted average approval percentage</t>
  </si>
  <si>
    <t>Total requests, billion 2025$</t>
  </si>
  <si>
    <t>2001-05</t>
  </si>
  <si>
    <t>2006-10</t>
  </si>
  <si>
    <t>2011-15</t>
  </si>
  <si>
    <t>2016-20</t>
  </si>
  <si>
    <t>2021-25</t>
  </si>
  <si>
    <t>Only considers requests for revenue requirement increases, and reflects the percentage of the $ value of the request that is approved. There are limitations to this dataset:</t>
  </si>
  <si>
    <t>¤ Rate cases mostly involve IOUs; other utility types do not file with state PUCs</t>
  </si>
  <si>
    <t>Regional regulatory acceptance of investor-owned utility revenue increase requests</t>
  </si>
  <si>
    <t>Years</t>
  </si>
  <si>
    <t>West 
(non-ISO)</t>
  </si>
  <si>
    <t>2001-10</t>
  </si>
  <si>
    <t>2011-20</t>
  </si>
  <si>
    <t>Total requests, 2001-25, billion 2025$</t>
  </si>
  <si>
    <t>IOU requested ROE (average)</t>
  </si>
  <si>
    <t>IOU approved ROE (average)</t>
  </si>
  <si>
    <t>IOU approved WACC (average)</t>
  </si>
  <si>
    <t>10-year Treasury interest rates</t>
  </si>
  <si>
    <t>Given time-lags between requests and approvals, the gap between the two values in any individual year does not reflect approval percentages.</t>
  </si>
  <si>
    <t>Data</t>
  </si>
  <si>
    <t>actual</t>
  </si>
  <si>
    <t>projection</t>
  </si>
  <si>
    <t>2025 data shown here are projected, from September 2025; will be updated when available</t>
  </si>
  <si>
    <t>nominal $/kW, by planned/operating year</t>
  </si>
  <si>
    <t>real 2025 $/kW, by planned/operating year</t>
  </si>
  <si>
    <t>EIA CapEx Reporting</t>
  </si>
  <si>
    <t>Simple cycle</t>
  </si>
  <si>
    <t>Combined cycle</t>
  </si>
  <si>
    <t>Source</t>
  </si>
  <si>
    <t>Combustion turbine</t>
  </si>
  <si>
    <t>2019-2023</t>
  </si>
  <si>
    <t>EIA</t>
  </si>
  <si>
    <t>Cost ($000)</t>
  </si>
  <si>
    <t>Capacity (MW)</t>
  </si>
  <si>
    <t>$/kW</t>
  </si>
  <si>
    <t>2026-2030</t>
  </si>
  <si>
    <t>Halcyon</t>
  </si>
  <si>
    <t>% increase</t>
  </si>
  <si>
    <t>EIA: https://www.eia.gov/electricity/generatorcosts/</t>
  </si>
  <si>
    <t>Halcyon: https://app.halcyon.io/data-subscriptions/a6343d94-e68e-4c16-89d9-4e411fb6bf87/summary</t>
  </si>
  <si>
    <t>Average</t>
  </si>
  <si>
    <t>Halcyon CapEx Reporting</t>
  </si>
  <si>
    <t>real 2025 cents/kWh</t>
  </si>
  <si>
    <t>Solar</t>
  </si>
  <si>
    <t>LevelTen Energy "Continental Index", as reported in LBNL annual wind and solar data products</t>
  </si>
  <si>
    <t>LevelTen reports data in nominal dollars, but we report in real levelized dollars using methods described in LBNL data products</t>
  </si>
  <si>
    <t xml:space="preserve">    non-ISO SE: 'Hitachi South Atlantic'</t>
  </si>
  <si>
    <t xml:space="preserve">    non-ISO West: average of 'Hitachi Northwest', 'Hitachi Green River', 'Hitachi San Juan', and 'Hitachi Mojave'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</si>
</sst>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3" formatCode="_(* #,##0.00_);_(* \(#,##0.00\);_(* &quot;-&quot;??_);_(@_)"/>
    <numFmt numFmtId="164" formatCode="0.0%"/>
    <numFmt numFmtId="165" formatCode="_(* #,##0_);_(* \(#,##0\);_(* &quot;-&quot;??_);_(@_)"/>
    <numFmt numFmtId="166" formatCode="0.000"/>
    <numFmt numFmtId="167" formatCode="0.0"/>
    <numFmt numFmtId="168" formatCode="#,##0.0"/>
    <numFmt numFmtId="169" formatCode="&quot;$&quot;#,##0.00"/>
    <numFmt numFmtId="170" formatCode="0.000%"/>
    <numFmt numFmtId="171" formatCode="#0.00"/>
    <numFmt numFmtId="172" formatCode="0.0000%"/>
    <numFmt numFmtId="173" formatCode="_(* #,##0.0_);_(* \(#,##0.0\);_(* &quot;-&quot;??_);_(@_)"/>
    <numFmt numFmtId="174" formatCode="0.0000000000000000%"/>
  </numFmts>
  <fonts count="46" x14ac:knownFonts="1">
    <font>
      <sz val="11"/>
      <color theme="1"/>
      <name val="Aptos Narrow"/>
      <family val="2"/>
      <scheme val="minor"/>
    </font>
    <font>
      <sz val="11"/>
      <color theme="1"/>
      <name val="Aptos Narrow"/>
      <family val="2"/>
      <scheme val="minor"/>
    </font>
    <font>
      <b/>
      <sz val="11"/>
      <color theme="1"/>
      <name val="Aptos Narrow"/>
      <family val="2"/>
      <scheme val="minor"/>
    </font>
    <font>
      <b/>
      <sz val="38"/>
      <color rgb="FF08306A"/>
      <name val="Arial"/>
      <family val="2"/>
    </font>
    <font>
      <sz val="9"/>
      <name val="Arial"/>
      <family val="2"/>
    </font>
    <font>
      <sz val="11"/>
      <name val="Calibri"/>
      <family val="2"/>
    </font>
    <font>
      <b/>
      <sz val="12"/>
      <color theme="3"/>
      <name val="Arial"/>
      <family val="2"/>
    </font>
    <font>
      <sz val="11"/>
      <name val="Arial"/>
      <family val="2"/>
    </font>
    <font>
      <u/>
      <sz val="11"/>
      <color theme="10"/>
      <name val="Aptos Narrow"/>
      <family val="2"/>
      <scheme val="minor"/>
    </font>
    <font>
      <b/>
      <sz val="12"/>
      <color theme="0"/>
      <name val="Aptos Narrow"/>
      <family val="2"/>
      <scheme val="minor"/>
    </font>
    <font>
      <b/>
      <i/>
      <sz val="28"/>
      <color rgb="FF08306A"/>
      <name val="Arial"/>
      <family val="2"/>
    </font>
    <font>
      <sz val="10"/>
      <color indexed="8"/>
      <name val="Arial"/>
      <family val="2"/>
    </font>
    <font>
      <u/>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0"/>
      <name val="Arial"/>
      <family val="2"/>
    </font>
    <font>
      <u/>
      <sz val="10"/>
      <color indexed="12"/>
      <name val="Arial"/>
      <family val="2"/>
    </font>
    <font>
      <sz val="11"/>
      <name val="Aptos Narrow"/>
      <family val="2"/>
      <scheme val="minor"/>
    </font>
    <font>
      <b/>
      <sz val="30"/>
      <color rgb="FF08306A"/>
      <name val="Arial"/>
      <family val="2"/>
    </font>
    <font>
      <b/>
      <u/>
      <sz val="11"/>
      <color theme="1"/>
      <name val="Aptos Narrow"/>
      <family val="2"/>
      <scheme val="minor"/>
    </font>
    <font>
      <i/>
      <sz val="11"/>
      <color theme="1"/>
      <name val="Aptos Narrow"/>
      <family val="2"/>
      <scheme val="minor"/>
    </font>
    <font>
      <sz val="17"/>
      <color theme="1" tint="0.14999847407452621"/>
      <name val="Arial"/>
      <family val="2"/>
    </font>
    <font>
      <b/>
      <sz val="17"/>
      <color theme="1" tint="0.14999847407452621"/>
      <name val="Arial"/>
      <family val="2"/>
    </font>
    <font>
      <b/>
      <sz val="16"/>
      <color theme="1" tint="0.14999847407452621"/>
      <name val="Arial"/>
      <family val="2"/>
    </font>
    <font>
      <sz val="11"/>
      <color theme="1" tint="0.14999847407452621"/>
      <name val="Aptos Narrow"/>
      <family val="2"/>
      <scheme val="minor"/>
    </font>
    <font>
      <sz val="19"/>
      <color theme="1" tint="0.14999847407452621"/>
      <name val="Arial"/>
      <family val="2"/>
    </font>
    <font>
      <sz val="16"/>
      <color theme="1" tint="0.14999847407452621"/>
      <name val="Arial"/>
      <family val="2"/>
    </font>
    <font>
      <sz val="14"/>
      <color theme="1" tint="0.14999847407452621"/>
      <name val="Arial"/>
      <family val="2"/>
    </font>
    <font>
      <u/>
      <sz val="14"/>
      <color theme="10"/>
      <name val="Arial"/>
      <family val="2"/>
    </font>
    <font>
      <sz val="9"/>
      <color theme="1"/>
      <name val="Arial"/>
      <family val="2"/>
    </font>
    <font>
      <sz val="11"/>
      <color rgb="FF000000"/>
      <name val="Aptos Narrow"/>
      <family val="2"/>
    </font>
    <font>
      <sz val="11"/>
      <color theme="1"/>
      <name val="Aptos"/>
      <family val="2"/>
    </font>
    <font>
      <sz val="11"/>
      <color rgb="FF000000"/>
      <name val="Aptos"/>
      <family val="2"/>
    </font>
  </fonts>
  <fills count="4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3" tint="0.89999084444715716"/>
        <bgColor indexed="64"/>
      </patternFill>
    </fill>
    <fill>
      <patternFill patternType="solid">
        <fgColor theme="4"/>
        <bgColor indexed="64"/>
      </patternFill>
    </fill>
  </fills>
  <borders count="31">
    <border>
      <left/>
      <right/>
      <top/>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3"/>
      </right>
      <top style="thin">
        <color theme="0"/>
      </top>
      <bottom style="thin">
        <color theme="0"/>
      </bottom>
      <diagonal/>
    </border>
    <border>
      <left style="thin">
        <color theme="3"/>
      </left>
      <right style="thin">
        <color theme="0"/>
      </right>
      <top style="thin">
        <color theme="0"/>
      </top>
      <bottom style="thin">
        <color theme="3"/>
      </bottom>
      <diagonal/>
    </border>
    <border>
      <left style="thin">
        <color theme="0"/>
      </left>
      <right style="thin">
        <color theme="0"/>
      </right>
      <top style="thin">
        <color theme="0"/>
      </top>
      <bottom style="thin">
        <color theme="3"/>
      </bottom>
      <diagonal/>
    </border>
    <border>
      <left style="thin">
        <color theme="0"/>
      </left>
      <right style="thin">
        <color theme="3"/>
      </right>
      <top style="thin">
        <color theme="0"/>
      </top>
      <bottom style="thin">
        <color theme="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medium">
        <color indexed="64"/>
      </bottom>
      <diagonal/>
    </border>
    <border>
      <left style="thin">
        <color indexed="64"/>
      </left>
      <right/>
      <top/>
      <bottom/>
      <diagonal/>
    </border>
    <border>
      <left style="thick">
        <color indexed="64"/>
      </left>
      <right/>
      <top/>
      <bottom/>
      <diagonal/>
    </border>
    <border>
      <left/>
      <right/>
      <top style="thin">
        <color indexed="64"/>
      </top>
      <bottom/>
      <diagonal/>
    </border>
    <border>
      <left/>
      <right/>
      <top/>
      <bottom style="dashed">
        <color theme="0" tint="-0.24994659260841701"/>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48">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13" fillId="0" borderId="0" applyNumberFormat="0" applyFill="0" applyBorder="0" applyAlignment="0" applyProtection="0"/>
    <xf numFmtId="0" fontId="14" fillId="0" borderId="14" applyNumberFormat="0" applyFill="0" applyAlignment="0" applyProtection="0"/>
    <xf numFmtId="0" fontId="15" fillId="0" borderId="15" applyNumberFormat="0" applyFill="0" applyAlignment="0" applyProtection="0"/>
    <xf numFmtId="0" fontId="16" fillId="0" borderId="16" applyNumberFormat="0" applyFill="0" applyAlignment="0" applyProtection="0"/>
    <xf numFmtId="0" fontId="16" fillId="0" borderId="0" applyNumberFormat="0" applyFill="0" applyBorder="0" applyAlignment="0" applyProtection="0"/>
    <xf numFmtId="0" fontId="17" fillId="9" borderId="0" applyNumberFormat="0" applyBorder="0" applyAlignment="0" applyProtection="0"/>
    <xf numFmtId="0" fontId="18" fillId="10" borderId="0" applyNumberFormat="0" applyBorder="0" applyAlignment="0" applyProtection="0"/>
    <xf numFmtId="0" fontId="19" fillId="11" borderId="0" applyNumberFormat="0" applyBorder="0" applyAlignment="0" applyProtection="0"/>
    <xf numFmtId="0" fontId="20" fillId="12" borderId="17" applyNumberFormat="0" applyAlignment="0" applyProtection="0"/>
    <xf numFmtId="0" fontId="21" fillId="13" borderId="18" applyNumberFormat="0" applyAlignment="0" applyProtection="0"/>
    <xf numFmtId="0" fontId="22" fillId="13" borderId="17" applyNumberFormat="0" applyAlignment="0" applyProtection="0"/>
    <xf numFmtId="0" fontId="23" fillId="0" borderId="19" applyNumberFormat="0" applyFill="0" applyAlignment="0" applyProtection="0"/>
    <xf numFmtId="0" fontId="24" fillId="14" borderId="20" applyNumberFormat="0" applyAlignment="0" applyProtection="0"/>
    <xf numFmtId="0" fontId="25" fillId="0" borderId="0" applyNumberFormat="0" applyFill="0" applyBorder="0" applyAlignment="0" applyProtection="0"/>
    <xf numFmtId="0" fontId="1" fillId="15" borderId="21" applyNumberFormat="0" applyFont="0" applyAlignment="0" applyProtection="0"/>
    <xf numFmtId="0" fontId="26" fillId="0" borderId="0" applyNumberFormat="0" applyFill="0" applyBorder="0" applyAlignment="0" applyProtection="0"/>
    <xf numFmtId="0" fontId="2" fillId="0" borderId="22" applyNumberFormat="0" applyFill="0" applyAlignment="0" applyProtection="0"/>
    <xf numFmtId="0" fontId="27"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7"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7"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7"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7"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7"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8" fillId="0" borderId="0"/>
    <xf numFmtId="0" fontId="29" fillId="0" borderId="0" applyNumberFormat="0" applyFill="0" applyBorder="0" applyAlignment="0" applyProtection="0">
      <alignment vertical="top"/>
      <protection locked="0"/>
    </xf>
    <xf numFmtId="0" fontId="28" fillId="0" borderId="0"/>
  </cellStyleXfs>
  <cellXfs count="304">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xf numFmtId="0" fontId="0" fillId="2" borderId="5" xfId="0" applyFill="1" applyBorder="1"/>
    <xf numFmtId="0" fontId="0" fillId="0" borderId="6" xfId="0" applyBorder="1"/>
    <xf numFmtId="0" fontId="0" fillId="0" borderId="7" xfId="0" applyBorder="1"/>
    <xf numFmtId="0" fontId="3" fillId="3" borderId="7" xfId="0" applyFont="1" applyFill="1" applyBorder="1"/>
    <xf numFmtId="0" fontId="0" fillId="0" borderId="8" xfId="0" applyBorder="1"/>
    <xf numFmtId="0" fontId="0" fillId="3" borderId="7" xfId="0" applyFill="1" applyBorder="1"/>
    <xf numFmtId="0" fontId="0" fillId="0" borderId="4" xfId="0" applyBorder="1"/>
    <xf numFmtId="0" fontId="4" fillId="0" borderId="6" xfId="0" applyFont="1" applyBorder="1"/>
    <xf numFmtId="0" fontId="5" fillId="0" borderId="6"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6" fillId="0" borderId="6" xfId="0" applyFont="1" applyBorder="1"/>
    <xf numFmtId="0" fontId="7" fillId="0" borderId="6" xfId="0" applyFont="1" applyBorder="1"/>
    <xf numFmtId="0" fontId="0" fillId="0" borderId="9" xfId="0" applyBorder="1"/>
    <xf numFmtId="0" fontId="0" fillId="0" borderId="10" xfId="0" applyBorder="1"/>
    <xf numFmtId="0" fontId="0" fillId="0" borderId="11" xfId="0" applyBorder="1"/>
    <xf numFmtId="0" fontId="9" fillId="4" borderId="12" xfId="0" applyFont="1" applyFill="1" applyBorder="1"/>
    <xf numFmtId="0" fontId="10" fillId="3" borderId="7" xfId="0" applyFont="1" applyFill="1" applyBorder="1"/>
    <xf numFmtId="0" fontId="2" fillId="0" borderId="0" xfId="0" applyFont="1"/>
    <xf numFmtId="0" fontId="0" fillId="0" borderId="0" xfId="0" applyAlignment="1">
      <alignment horizontal="right"/>
    </xf>
    <xf numFmtId="2" fontId="0" fillId="0" borderId="0" xfId="0" applyNumberFormat="1"/>
    <xf numFmtId="0" fontId="0" fillId="0" borderId="13" xfId="0" applyBorder="1" applyAlignment="1">
      <alignment horizontal="right"/>
    </xf>
    <xf numFmtId="0" fontId="0" fillId="0" borderId="0" xfId="0" applyAlignment="1">
      <alignment horizontal="left"/>
    </xf>
    <xf numFmtId="0" fontId="0" fillId="0" borderId="13" xfId="0" applyBorder="1" applyAlignment="1">
      <alignment horizontal="center"/>
    </xf>
    <xf numFmtId="0" fontId="0" fillId="0" borderId="0" xfId="0" applyAlignment="1">
      <alignment horizontal="center"/>
    </xf>
    <xf numFmtId="0" fontId="0" fillId="0" borderId="0" xfId="0" applyAlignment="1">
      <alignment wrapText="1"/>
    </xf>
    <xf numFmtId="0" fontId="0" fillId="0" borderId="13" xfId="0" applyBorder="1" applyAlignment="1">
      <alignment wrapText="1"/>
    </xf>
    <xf numFmtId="0" fontId="0" fillId="0" borderId="13" xfId="0" applyBorder="1"/>
    <xf numFmtId="0" fontId="12" fillId="0" borderId="0" xfId="0" applyFont="1"/>
    <xf numFmtId="0" fontId="1" fillId="5" borderId="12" xfId="0" applyFont="1" applyFill="1" applyBorder="1"/>
    <xf numFmtId="0" fontId="1" fillId="6" borderId="12" xfId="0" applyFont="1" applyFill="1" applyBorder="1"/>
    <xf numFmtId="0" fontId="1" fillId="7" borderId="12" xfId="0" applyFont="1" applyFill="1" applyBorder="1"/>
    <xf numFmtId="0" fontId="1" fillId="5" borderId="12" xfId="3" applyFont="1" applyFill="1" applyBorder="1"/>
    <xf numFmtId="0" fontId="1" fillId="6" borderId="12" xfId="3" applyFont="1" applyFill="1" applyBorder="1"/>
    <xf numFmtId="0" fontId="1" fillId="7" borderId="12" xfId="3" applyFont="1" applyFill="1" applyBorder="1"/>
    <xf numFmtId="0" fontId="1" fillId="8" borderId="12" xfId="3" applyFont="1" applyFill="1" applyBorder="1"/>
    <xf numFmtId="0" fontId="1" fillId="8" borderId="12" xfId="0" applyFont="1" applyFill="1" applyBorder="1"/>
    <xf numFmtId="0" fontId="0" fillId="0" borderId="13" xfId="0" applyBorder="1" applyAlignment="1">
      <alignment horizontal="right" wrapText="1"/>
    </xf>
    <xf numFmtId="2" fontId="0" fillId="0" borderId="0" xfId="0" applyNumberFormat="1" applyAlignment="1">
      <alignment horizontal="right"/>
    </xf>
    <xf numFmtId="9" fontId="0" fillId="0" borderId="0" xfId="2" applyFont="1"/>
    <xf numFmtId="164" fontId="0" fillId="0" borderId="0" xfId="2" applyNumberFormat="1" applyFont="1"/>
    <xf numFmtId="10" fontId="0" fillId="0" borderId="0" xfId="2" applyNumberFormat="1" applyFont="1"/>
    <xf numFmtId="165" fontId="0" fillId="0" borderId="0" xfId="1" applyNumberFormat="1" applyFont="1"/>
    <xf numFmtId="9" fontId="0" fillId="0" borderId="0" xfId="2" applyFont="1" applyFill="1" applyAlignment="1">
      <alignment horizontal="right"/>
    </xf>
    <xf numFmtId="10" fontId="0" fillId="0" borderId="0" xfId="2" applyNumberFormat="1" applyFont="1" applyFill="1" applyAlignment="1">
      <alignment horizontal="right"/>
    </xf>
    <xf numFmtId="10" fontId="0" fillId="0" borderId="0" xfId="2" applyNumberFormat="1" applyFont="1" applyFill="1"/>
    <xf numFmtId="164" fontId="0" fillId="0" borderId="0" xfId="2" applyNumberFormat="1" applyFont="1" applyFill="1" applyAlignment="1">
      <alignment horizontal="right"/>
    </xf>
    <xf numFmtId="0" fontId="0" fillId="0" borderId="13" xfId="0" applyBorder="1" applyAlignment="1">
      <alignment horizontal="center" wrapText="1"/>
    </xf>
    <xf numFmtId="0" fontId="0" fillId="0" borderId="0" xfId="0" applyAlignment="1">
      <alignment horizontal="right" wrapText="1"/>
    </xf>
    <xf numFmtId="2" fontId="28" fillId="0" borderId="0" xfId="45" applyNumberFormat="1"/>
    <xf numFmtId="0" fontId="0" fillId="0" borderId="0" xfId="0" applyAlignment="1">
      <alignment horizontal="center" vertical="center" wrapText="1"/>
    </xf>
    <xf numFmtId="165" fontId="0" fillId="0" borderId="0" xfId="1" applyNumberFormat="1" applyFont="1" applyFill="1"/>
    <xf numFmtId="165" fontId="0" fillId="0" borderId="0" xfId="1" applyNumberFormat="1" applyFont="1" applyAlignment="1">
      <alignment horizontal="right"/>
    </xf>
    <xf numFmtId="0" fontId="2" fillId="0" borderId="0" xfId="0" applyFont="1" applyAlignment="1">
      <alignment horizontal="left"/>
    </xf>
    <xf numFmtId="0" fontId="12" fillId="0" borderId="0" xfId="0" applyFont="1" applyAlignment="1">
      <alignment horizontal="right"/>
    </xf>
    <xf numFmtId="2" fontId="0" fillId="0" borderId="0" xfId="0" applyNumberFormat="1" applyAlignment="1">
      <alignment wrapText="1"/>
    </xf>
    <xf numFmtId="166" fontId="0" fillId="0" borderId="0" xfId="0" applyNumberFormat="1" applyAlignment="1">
      <alignment wrapText="1"/>
    </xf>
    <xf numFmtId="0" fontId="31" fillId="3" borderId="7" xfId="0" applyFont="1" applyFill="1" applyBorder="1"/>
    <xf numFmtId="0" fontId="0" fillId="6" borderId="12" xfId="3" applyFont="1" applyFill="1" applyBorder="1"/>
    <xf numFmtId="0" fontId="0" fillId="6" borderId="12" xfId="0" applyFill="1" applyBorder="1"/>
    <xf numFmtId="0" fontId="0" fillId="40" borderId="12" xfId="3" applyFont="1" applyFill="1" applyBorder="1"/>
    <xf numFmtId="0" fontId="1" fillId="40" borderId="12" xfId="0" applyFont="1" applyFill="1" applyBorder="1"/>
    <xf numFmtId="0" fontId="0" fillId="40" borderId="12" xfId="0" applyFill="1" applyBorder="1"/>
    <xf numFmtId="0" fontId="1" fillId="40" borderId="12" xfId="3" applyFont="1" applyFill="1" applyBorder="1"/>
    <xf numFmtId="164" fontId="0" fillId="0" borderId="0" xfId="2" applyNumberFormat="1" applyFont="1" applyFill="1"/>
    <xf numFmtId="0" fontId="0" fillId="0" borderId="0" xfId="0" applyAlignment="1">
      <alignment horizontal="center" vertical="center"/>
    </xf>
    <xf numFmtId="164" fontId="0" fillId="0" borderId="0" xfId="0" applyNumberFormat="1"/>
    <xf numFmtId="9" fontId="0" fillId="0" borderId="0" xfId="0" applyNumberFormat="1"/>
    <xf numFmtId="0" fontId="0" fillId="0" borderId="0" xfId="0" applyAlignment="1">
      <alignment horizontal="center" wrapText="1"/>
    </xf>
    <xf numFmtId="2" fontId="0" fillId="0" borderId="13" xfId="0" applyNumberFormat="1" applyBorder="1" applyAlignment="1">
      <alignment horizontal="center" wrapText="1"/>
    </xf>
    <xf numFmtId="167" fontId="0" fillId="0" borderId="0" xfId="0" applyNumberFormat="1"/>
    <xf numFmtId="9" fontId="0" fillId="0" borderId="0" xfId="2" applyFont="1" applyAlignment="1">
      <alignment horizontal="center"/>
    </xf>
    <xf numFmtId="2" fontId="0" fillId="0" borderId="0" xfId="0" applyNumberFormat="1" applyAlignment="1">
      <alignment horizontal="center"/>
    </xf>
    <xf numFmtId="0" fontId="12" fillId="0" borderId="13" xfId="0" applyFont="1" applyBorder="1" applyAlignment="1">
      <alignment horizontal="right"/>
    </xf>
    <xf numFmtId="164" fontId="0" fillId="0" borderId="0" xfId="2" applyNumberFormat="1" applyFont="1" applyAlignment="1">
      <alignment horizontal="right"/>
    </xf>
    <xf numFmtId="9" fontId="0" fillId="0" borderId="0" xfId="2" applyFont="1" applyAlignment="1">
      <alignment horizontal="right"/>
    </xf>
    <xf numFmtId="0" fontId="0" fillId="0" borderId="0" xfId="2" applyNumberFormat="1" applyFont="1"/>
    <xf numFmtId="0" fontId="30" fillId="0" borderId="13" xfId="47" applyFont="1" applyBorder="1" applyAlignment="1">
      <alignment horizontal="right" wrapText="1"/>
    </xf>
    <xf numFmtId="1" fontId="0" fillId="0" borderId="0" xfId="0" applyNumberFormat="1" applyAlignment="1">
      <alignment horizontal="right"/>
    </xf>
    <xf numFmtId="1" fontId="0" fillId="0" borderId="0" xfId="0" applyNumberFormat="1"/>
    <xf numFmtId="0" fontId="0" fillId="8" borderId="12" xfId="3" applyFont="1" applyFill="1" applyBorder="1"/>
    <xf numFmtId="0" fontId="0" fillId="8" borderId="12" xfId="0" applyFill="1" applyBorder="1"/>
    <xf numFmtId="2" fontId="0" fillId="0" borderId="0" xfId="0" applyNumberFormat="1" applyAlignment="1">
      <alignment horizontal="right" wrapText="1"/>
    </xf>
    <xf numFmtId="2" fontId="0" fillId="0" borderId="0" xfId="2" applyNumberFormat="1" applyFont="1" applyFill="1"/>
    <xf numFmtId="164" fontId="0" fillId="0" borderId="0" xfId="2" applyNumberFormat="1" applyFont="1" applyBorder="1" applyAlignment="1">
      <alignment horizontal="right" wrapText="1"/>
    </xf>
    <xf numFmtId="1" fontId="0" fillId="0" borderId="0" xfId="0" applyNumberFormat="1" applyAlignment="1">
      <alignment horizontal="right" wrapText="1"/>
    </xf>
    <xf numFmtId="0" fontId="2" fillId="0" borderId="0" xfId="0" applyFont="1" applyAlignment="1">
      <alignment horizontal="right"/>
    </xf>
    <xf numFmtId="3" fontId="0" fillId="0" borderId="0" xfId="0" applyNumberFormat="1" applyAlignment="1">
      <alignment horizontal="right"/>
    </xf>
    <xf numFmtId="164" fontId="0" fillId="0" borderId="0" xfId="0" applyNumberFormat="1" applyAlignment="1">
      <alignment horizontal="right" wrapText="1"/>
    </xf>
    <xf numFmtId="168" fontId="0" fillId="0" borderId="0" xfId="0" applyNumberFormat="1" applyAlignment="1">
      <alignment horizontal="right" wrapText="1"/>
    </xf>
    <xf numFmtId="0" fontId="2" fillId="0" borderId="13" xfId="0" applyFont="1" applyBorder="1" applyAlignment="1">
      <alignment horizontal="right"/>
    </xf>
    <xf numFmtId="0" fontId="2" fillId="0" borderId="13" xfId="0" applyFont="1" applyBorder="1" applyAlignment="1">
      <alignment horizontal="right" wrapText="1"/>
    </xf>
    <xf numFmtId="165" fontId="0" fillId="0" borderId="0" xfId="1" applyNumberFormat="1" applyFont="1" applyAlignment="1">
      <alignment horizontal="right" wrapText="1"/>
    </xf>
    <xf numFmtId="0" fontId="2" fillId="0" borderId="13" xfId="0" applyFont="1" applyBorder="1"/>
    <xf numFmtId="165" fontId="0" fillId="0" borderId="0" xfId="1" applyNumberFormat="1" applyFont="1" applyBorder="1" applyAlignment="1">
      <alignment horizontal="right" wrapText="1"/>
    </xf>
    <xf numFmtId="0" fontId="2" fillId="0" borderId="0" xfId="0" applyFont="1" applyAlignment="1">
      <alignment horizontal="center"/>
    </xf>
    <xf numFmtId="0" fontId="28" fillId="0" borderId="0" xfId="45" applyAlignment="1">
      <alignment horizontal="center" vertical="center"/>
    </xf>
    <xf numFmtId="8" fontId="28" fillId="0" borderId="0" xfId="45" applyNumberFormat="1" applyAlignment="1">
      <alignment horizontal="right" vertical="center"/>
    </xf>
    <xf numFmtId="169" fontId="28" fillId="0" borderId="0" xfId="45" applyNumberFormat="1" applyAlignment="1">
      <alignment horizontal="right" vertical="center"/>
    </xf>
    <xf numFmtId="165" fontId="0" fillId="0" borderId="0" xfId="1" applyNumberFormat="1" applyFont="1" applyFill="1" applyBorder="1" applyAlignment="1">
      <alignment horizontal="right" wrapText="1"/>
    </xf>
    <xf numFmtId="164" fontId="0" fillId="0" borderId="13" xfId="0" applyNumberFormat="1" applyBorder="1" applyAlignment="1">
      <alignment horizontal="right" wrapText="1"/>
    </xf>
    <xf numFmtId="168" fontId="0" fillId="0" borderId="13" xfId="0" applyNumberFormat="1" applyBorder="1" applyAlignment="1">
      <alignment horizontal="right" wrapText="1"/>
    </xf>
    <xf numFmtId="9" fontId="0" fillId="0" borderId="0" xfId="2" applyFont="1" applyAlignment="1">
      <alignment horizontal="right" wrapText="1"/>
    </xf>
    <xf numFmtId="2" fontId="28" fillId="0" borderId="0" xfId="45" applyNumberFormat="1" applyAlignment="1">
      <alignment horizontal="right" vertical="center"/>
    </xf>
    <xf numFmtId="2" fontId="0" fillId="0" borderId="0" xfId="1" applyNumberFormat="1" applyFont="1" applyFill="1" applyAlignment="1">
      <alignment horizontal="right"/>
    </xf>
    <xf numFmtId="2" fontId="0" fillId="0" borderId="0" xfId="2" applyNumberFormat="1" applyFont="1" applyFill="1" applyAlignment="1">
      <alignment horizontal="right"/>
    </xf>
    <xf numFmtId="0" fontId="0" fillId="0" borderId="13" xfId="0" applyBorder="1" applyAlignment="1">
      <alignment horizontal="left" wrapText="1"/>
    </xf>
    <xf numFmtId="0" fontId="0" fillId="0" borderId="0" xfId="0" applyAlignment="1">
      <alignment horizontal="left" vertical="top" wrapText="1"/>
    </xf>
    <xf numFmtId="0" fontId="0" fillId="0" borderId="0" xfId="0" applyAlignment="1">
      <alignment vertical="top"/>
    </xf>
    <xf numFmtId="0" fontId="0" fillId="7" borderId="12" xfId="3" applyFont="1" applyFill="1" applyBorder="1"/>
    <xf numFmtId="0" fontId="0" fillId="0" borderId="13" xfId="0" applyBorder="1" applyAlignment="1">
      <alignment horizontal="left"/>
    </xf>
    <xf numFmtId="0" fontId="0" fillId="7" borderId="12" xfId="0" applyFill="1" applyBorder="1"/>
    <xf numFmtId="9" fontId="0" fillId="0" borderId="0" xfId="2" applyFont="1" applyAlignment="1">
      <alignment horizontal="right" vertical="top" wrapText="1"/>
    </xf>
    <xf numFmtId="167" fontId="0" fillId="0" borderId="0" xfId="0" applyNumberFormat="1" applyAlignment="1">
      <alignment wrapText="1"/>
    </xf>
    <xf numFmtId="0" fontId="1" fillId="41" borderId="12" xfId="3" applyFont="1" applyFill="1" applyBorder="1"/>
    <xf numFmtId="0" fontId="1" fillId="41" borderId="12" xfId="0" applyFont="1" applyFill="1" applyBorder="1"/>
    <xf numFmtId="0" fontId="0" fillId="0" borderId="23" xfId="0" applyBorder="1" applyAlignment="1">
      <alignment horizontal="right"/>
    </xf>
    <xf numFmtId="0" fontId="0" fillId="0" borderId="23" xfId="0" applyBorder="1"/>
    <xf numFmtId="0" fontId="2" fillId="42" borderId="23" xfId="0" applyFont="1" applyFill="1" applyBorder="1" applyAlignment="1">
      <alignment horizontal="left"/>
    </xf>
    <xf numFmtId="0" fontId="0" fillId="0" borderId="0" xfId="0" applyAlignment="1">
      <alignment horizontal="left" wrapText="1"/>
    </xf>
    <xf numFmtId="0" fontId="2" fillId="0" borderId="0" xfId="0" applyFont="1" applyAlignment="1">
      <alignment horizontal="left" wrapText="1"/>
    </xf>
    <xf numFmtId="0" fontId="0" fillId="0" borderId="0" xfId="0" applyAlignment="1">
      <alignment horizontal="left" vertical="top"/>
    </xf>
    <xf numFmtId="167" fontId="0" fillId="0" borderId="0" xfId="0" applyNumberFormat="1" applyAlignment="1">
      <alignment horizontal="right"/>
    </xf>
    <xf numFmtId="14" fontId="0" fillId="0" borderId="0" xfId="0" applyNumberFormat="1" applyAlignment="1">
      <alignment horizontal="center"/>
    </xf>
    <xf numFmtId="14" fontId="2" fillId="0" borderId="0" xfId="0" applyNumberFormat="1" applyFont="1" applyAlignment="1">
      <alignment horizontal="left"/>
    </xf>
    <xf numFmtId="14" fontId="0" fillId="0" borderId="0" xfId="0" applyNumberFormat="1" applyAlignment="1">
      <alignment horizontal="left"/>
    </xf>
    <xf numFmtId="14" fontId="0" fillId="0" borderId="0" xfId="0" applyNumberFormat="1" applyAlignment="1">
      <alignment horizontal="right"/>
    </xf>
    <xf numFmtId="14" fontId="0" fillId="0" borderId="0" xfId="0" applyNumberFormat="1" applyAlignment="1">
      <alignment vertical="top"/>
    </xf>
    <xf numFmtId="167" fontId="2" fillId="0" borderId="0" xfId="0" applyNumberFormat="1" applyFont="1" applyAlignment="1">
      <alignment horizontal="right"/>
    </xf>
    <xf numFmtId="167" fontId="0" fillId="0" borderId="13" xfId="0" applyNumberFormat="1" applyBorder="1" applyAlignment="1">
      <alignment horizontal="right" wrapText="1"/>
    </xf>
    <xf numFmtId="167" fontId="0" fillId="0" borderId="0" xfId="0" applyNumberFormat="1" applyAlignment="1">
      <alignment horizontal="right" vertical="center"/>
    </xf>
    <xf numFmtId="167" fontId="0" fillId="0" borderId="0" xfId="0" applyNumberFormat="1" applyAlignment="1">
      <alignment vertical="top"/>
    </xf>
    <xf numFmtId="167" fontId="0" fillId="0" borderId="0" xfId="0" applyNumberFormat="1" applyAlignment="1">
      <alignment horizontal="left"/>
    </xf>
    <xf numFmtId="167" fontId="8" fillId="0" borderId="0" xfId="3" applyNumberFormat="1" applyAlignment="1">
      <alignment horizontal="left"/>
    </xf>
    <xf numFmtId="14" fontId="0" fillId="0" borderId="13" xfId="0" applyNumberFormat="1" applyBorder="1" applyAlignment="1">
      <alignment horizontal="center" wrapText="1"/>
    </xf>
    <xf numFmtId="167" fontId="0" fillId="0" borderId="0" xfId="0" applyNumberFormat="1" applyAlignment="1">
      <alignment horizontal="right" vertical="top" wrapText="1"/>
    </xf>
    <xf numFmtId="14" fontId="12" fillId="0" borderId="0" xfId="0" applyNumberFormat="1" applyFont="1" applyAlignment="1">
      <alignment horizontal="left"/>
    </xf>
    <xf numFmtId="0" fontId="0" fillId="0" borderId="0" xfId="0" applyAlignment="1">
      <alignment horizontal="right" vertical="center"/>
    </xf>
    <xf numFmtId="0" fontId="8" fillId="0" borderId="0" xfId="3" applyAlignment="1">
      <alignment horizontal="left" vertical="top"/>
    </xf>
    <xf numFmtId="43" fontId="0" fillId="0" borderId="0" xfId="1" applyFont="1" applyFill="1" applyAlignment="1">
      <alignment horizontal="right"/>
    </xf>
    <xf numFmtId="0" fontId="0" fillId="0" borderId="0" xfId="1" applyNumberFormat="1" applyFont="1" applyFill="1" applyAlignment="1">
      <alignment horizontal="center"/>
    </xf>
    <xf numFmtId="2" fontId="0" fillId="0" borderId="13" xfId="0" applyNumberFormat="1" applyBorder="1" applyAlignment="1">
      <alignment horizontal="center"/>
    </xf>
    <xf numFmtId="167" fontId="0" fillId="0" borderId="0" xfId="2" applyNumberFormat="1" applyFont="1" applyAlignment="1">
      <alignment horizontal="right"/>
    </xf>
    <xf numFmtId="167" fontId="0" fillId="0" borderId="0" xfId="2" applyNumberFormat="1" applyFont="1" applyFill="1" applyAlignment="1">
      <alignment horizontal="right"/>
    </xf>
    <xf numFmtId="2" fontId="0" fillId="0" borderId="0" xfId="0" applyNumberFormat="1" applyAlignment="1">
      <alignment horizontal="right" vertical="center"/>
    </xf>
    <xf numFmtId="0" fontId="0" fillId="0" borderId="0" xfId="0" applyAlignment="1">
      <alignment vertical="top" wrapText="1"/>
    </xf>
    <xf numFmtId="0" fontId="0" fillId="0" borderId="0" xfId="0" applyAlignment="1">
      <alignment horizontal="left" vertical="center"/>
    </xf>
    <xf numFmtId="9" fontId="0" fillId="0" borderId="0" xfId="2" applyFont="1" applyFill="1" applyAlignment="1">
      <alignment horizontal="right" wrapText="1"/>
    </xf>
    <xf numFmtId="14" fontId="0" fillId="0" borderId="0" xfId="0" applyNumberFormat="1"/>
    <xf numFmtId="14" fontId="0" fillId="0" borderId="0" xfId="0" applyNumberFormat="1" applyAlignment="1">
      <alignment horizontal="center" wrapText="1"/>
    </xf>
    <xf numFmtId="9" fontId="0" fillId="0" borderId="0" xfId="2" applyFont="1" applyAlignment="1">
      <alignment horizontal="left"/>
    </xf>
    <xf numFmtId="167" fontId="0" fillId="0" borderId="13" xfId="0" applyNumberFormat="1" applyBorder="1" applyAlignment="1">
      <alignment horizontal="center" wrapText="1"/>
    </xf>
    <xf numFmtId="167" fontId="0" fillId="0" borderId="0" xfId="0" applyNumberFormat="1" applyAlignment="1">
      <alignment horizontal="center" wrapText="1"/>
    </xf>
    <xf numFmtId="9" fontId="0" fillId="0" borderId="0" xfId="2" applyFont="1" applyAlignment="1">
      <alignment horizontal="center" vertical="center"/>
    </xf>
    <xf numFmtId="14" fontId="0" fillId="0" borderId="13" xfId="0" applyNumberFormat="1" applyBorder="1"/>
    <xf numFmtId="9" fontId="0" fillId="0" borderId="13" xfId="2" applyFont="1" applyBorder="1" applyAlignment="1">
      <alignment horizontal="center"/>
    </xf>
    <xf numFmtId="0" fontId="0" fillId="0" borderId="0" xfId="0" applyAlignment="1">
      <alignment vertical="center" wrapText="1"/>
    </xf>
    <xf numFmtId="164" fontId="0" fillId="0" borderId="0" xfId="2" applyNumberFormat="1" applyFont="1" applyFill="1" applyBorder="1" applyAlignment="1">
      <alignment horizontal="right" wrapText="1"/>
    </xf>
    <xf numFmtId="164" fontId="0" fillId="0" borderId="0" xfId="2" applyNumberFormat="1" applyFont="1" applyFill="1" applyAlignment="1">
      <alignment horizontal="right" wrapText="1"/>
    </xf>
    <xf numFmtId="0" fontId="0" fillId="0" borderId="0" xfId="0" applyAlignment="1">
      <alignment horizontal="center" vertical="top" wrapText="1"/>
    </xf>
    <xf numFmtId="167" fontId="0" fillId="0" borderId="0" xfId="2" applyNumberFormat="1" applyFont="1" applyFill="1" applyAlignment="1">
      <alignment horizontal="right" vertical="center" wrapText="1"/>
    </xf>
    <xf numFmtId="167" fontId="0" fillId="0" borderId="0" xfId="2" applyNumberFormat="1" applyFont="1" applyFill="1" applyAlignment="1">
      <alignment horizontal="right" vertical="center"/>
    </xf>
    <xf numFmtId="167" fontId="0" fillId="0" borderId="0" xfId="2" applyNumberFormat="1" applyFont="1" applyAlignment="1">
      <alignment horizontal="right" vertical="center" wrapText="1"/>
    </xf>
    <xf numFmtId="167" fontId="0" fillId="0" borderId="0" xfId="2" applyNumberFormat="1" applyFont="1" applyAlignment="1">
      <alignment horizontal="right" vertical="center"/>
    </xf>
    <xf numFmtId="164" fontId="0" fillId="0" borderId="0" xfId="2" applyNumberFormat="1" applyFont="1" applyAlignment="1">
      <alignment horizontal="right" wrapText="1"/>
    </xf>
    <xf numFmtId="1" fontId="0" fillId="0" borderId="13" xfId="0" applyNumberFormat="1" applyBorder="1" applyAlignment="1">
      <alignment horizontal="right" wrapText="1"/>
    </xf>
    <xf numFmtId="170" fontId="0" fillId="0" borderId="0" xfId="2" applyNumberFormat="1" applyFont="1"/>
    <xf numFmtId="9" fontId="0" fillId="0" borderId="0" xfId="2" applyFont="1" applyFill="1"/>
    <xf numFmtId="164" fontId="0" fillId="0" borderId="0" xfId="2" applyNumberFormat="1" applyFont="1" applyAlignment="1">
      <alignment wrapText="1"/>
    </xf>
    <xf numFmtId="9" fontId="0" fillId="0" borderId="13" xfId="2" applyFont="1" applyBorder="1" applyAlignment="1">
      <alignment horizontal="right" wrapText="1"/>
    </xf>
    <xf numFmtId="0" fontId="0" fillId="41" borderId="12" xfId="3" applyFont="1" applyFill="1" applyBorder="1"/>
    <xf numFmtId="0" fontId="0" fillId="41" borderId="12" xfId="0" applyFill="1" applyBorder="1"/>
    <xf numFmtId="1" fontId="0" fillId="0" borderId="0" xfId="0" applyNumberFormat="1" applyAlignment="1">
      <alignment horizontal="left" wrapText="1"/>
    </xf>
    <xf numFmtId="164" fontId="0" fillId="0" borderId="0" xfId="2" applyNumberFormat="1" applyFont="1" applyFill="1" applyBorder="1" applyAlignment="1">
      <alignment horizontal="right"/>
    </xf>
    <xf numFmtId="0" fontId="32" fillId="0" borderId="0" xfId="0" applyFont="1" applyAlignment="1">
      <alignment horizontal="left"/>
    </xf>
    <xf numFmtId="0" fontId="33" fillId="0" borderId="0" xfId="0" applyFont="1" applyAlignment="1">
      <alignment horizontal="left"/>
    </xf>
    <xf numFmtId="2" fontId="33" fillId="0" borderId="0" xfId="0" applyNumberFormat="1" applyFont="1" applyAlignment="1">
      <alignment horizontal="right"/>
    </xf>
    <xf numFmtId="0" fontId="33" fillId="0" borderId="0" xfId="0" applyFont="1" applyAlignment="1">
      <alignment horizontal="right" wrapText="1"/>
    </xf>
    <xf numFmtId="0" fontId="33" fillId="0" borderId="0" xfId="0" applyFont="1" applyAlignment="1">
      <alignment wrapText="1"/>
    </xf>
    <xf numFmtId="0" fontId="2" fillId="0" borderId="13" xfId="0" applyFont="1" applyBorder="1" applyAlignment="1">
      <alignment horizontal="left"/>
    </xf>
    <xf numFmtId="165" fontId="0" fillId="0" borderId="0" xfId="1" applyNumberFormat="1" applyFont="1" applyAlignment="1">
      <alignment horizontal="left"/>
    </xf>
    <xf numFmtId="9" fontId="0" fillId="0" borderId="0" xfId="2" applyFont="1" applyFill="1" applyAlignment="1">
      <alignment horizontal="center"/>
    </xf>
    <xf numFmtId="9" fontId="0" fillId="0" borderId="13" xfId="2" applyFont="1" applyFill="1" applyBorder="1" applyAlignment="1">
      <alignment horizontal="right" wrapText="1"/>
    </xf>
    <xf numFmtId="9" fontId="0" fillId="0" borderId="0" xfId="0" applyNumberFormat="1" applyAlignment="1">
      <alignment horizontal="right" wrapText="1"/>
    </xf>
    <xf numFmtId="2" fontId="0" fillId="0" borderId="0" xfId="2" applyNumberFormat="1" applyFont="1" applyAlignment="1">
      <alignment horizontal="right"/>
    </xf>
    <xf numFmtId="0" fontId="2" fillId="0" borderId="0" xfId="0" applyFont="1" applyAlignment="1">
      <alignment horizontal="centerContinuous"/>
    </xf>
    <xf numFmtId="0" fontId="0" fillId="0" borderId="0" xfId="0" applyAlignment="1">
      <alignment horizontal="centerContinuous"/>
    </xf>
    <xf numFmtId="9" fontId="0" fillId="0" borderId="0" xfId="2" applyFont="1" applyAlignment="1">
      <alignment horizontal="centerContinuous"/>
    </xf>
    <xf numFmtId="2" fontId="0" fillId="0" borderId="0" xfId="2" applyNumberFormat="1" applyFont="1"/>
    <xf numFmtId="2" fontId="0" fillId="0" borderId="0" xfId="1" applyNumberFormat="1" applyFont="1"/>
    <xf numFmtId="2" fontId="0" fillId="0" borderId="0" xfId="0" applyNumberFormat="1" applyAlignment="1">
      <alignment horizontal="left"/>
    </xf>
    <xf numFmtId="9" fontId="0" fillId="0" borderId="13" xfId="2" applyFont="1" applyBorder="1" applyAlignment="1">
      <alignment horizontal="right"/>
    </xf>
    <xf numFmtId="0" fontId="0" fillId="0" borderId="13" xfId="0" applyBorder="1" applyAlignment="1">
      <alignment horizontal="center" vertical="center"/>
    </xf>
    <xf numFmtId="43" fontId="0" fillId="0" borderId="0" xfId="1" applyFont="1" applyAlignment="1">
      <alignment horizontal="left"/>
    </xf>
    <xf numFmtId="43" fontId="0" fillId="0" borderId="0" xfId="1" applyFont="1" applyAlignment="1">
      <alignment horizontal="center"/>
    </xf>
    <xf numFmtId="9" fontId="0" fillId="0" borderId="0" xfId="2" applyFont="1" applyFill="1" applyAlignment="1">
      <alignment horizontal="right" vertical="top" wrapText="1"/>
    </xf>
    <xf numFmtId="0" fontId="0" fillId="0" borderId="0" xfId="3" applyFont="1" applyFill="1" applyBorder="1"/>
    <xf numFmtId="0" fontId="1" fillId="0" borderId="0" xfId="0" applyFont="1"/>
    <xf numFmtId="1" fontId="0" fillId="0" borderId="13" xfId="0" applyNumberFormat="1" applyBorder="1"/>
    <xf numFmtId="2" fontId="2" fillId="0" borderId="0" xfId="0" applyNumberFormat="1" applyFont="1" applyAlignment="1">
      <alignment horizontal="right"/>
    </xf>
    <xf numFmtId="164" fontId="0" fillId="0" borderId="23" xfId="2" applyNumberFormat="1" applyFont="1" applyBorder="1"/>
    <xf numFmtId="164" fontId="0" fillId="0" borderId="13" xfId="2" applyNumberFormat="1" applyFont="1" applyBorder="1" applyAlignment="1">
      <alignment horizontal="right" wrapText="1"/>
    </xf>
    <xf numFmtId="164" fontId="0" fillId="0" borderId="23" xfId="2" applyNumberFormat="1" applyFont="1" applyBorder="1" applyAlignment="1">
      <alignment horizontal="right"/>
    </xf>
    <xf numFmtId="172" fontId="0" fillId="0" borderId="0" xfId="2" applyNumberFormat="1" applyFont="1" applyAlignment="1">
      <alignment wrapText="1"/>
    </xf>
    <xf numFmtId="0" fontId="34" fillId="0" borderId="7" xfId="0" applyFont="1" applyBorder="1" applyAlignment="1">
      <alignment horizontal="left" vertical="center" readingOrder="1"/>
    </xf>
    <xf numFmtId="0" fontId="35" fillId="3" borderId="7" xfId="0" applyFont="1" applyFill="1" applyBorder="1" applyAlignment="1">
      <alignment horizontal="left" vertical="center" readingOrder="1"/>
    </xf>
    <xf numFmtId="0" fontId="36" fillId="3" borderId="7" xfId="0" applyFont="1" applyFill="1" applyBorder="1" applyAlignment="1">
      <alignment horizontal="left" vertical="center" readingOrder="1"/>
    </xf>
    <xf numFmtId="0" fontId="34" fillId="3" borderId="7" xfId="0" applyFont="1" applyFill="1" applyBorder="1" applyAlignment="1">
      <alignment horizontal="left" vertical="center" readingOrder="1"/>
    </xf>
    <xf numFmtId="0" fontId="37" fillId="3" borderId="7" xfId="0" applyFont="1" applyFill="1" applyBorder="1"/>
    <xf numFmtId="0" fontId="40" fillId="3" borderId="7" xfId="0" applyFont="1" applyFill="1" applyBorder="1" applyAlignment="1">
      <alignment horizontal="left"/>
    </xf>
    <xf numFmtId="0" fontId="39" fillId="0" borderId="7" xfId="0" applyFont="1" applyBorder="1" applyAlignment="1">
      <alignment horizontal="left"/>
    </xf>
    <xf numFmtId="173" fontId="0" fillId="0" borderId="0" xfId="1" applyNumberFormat="1" applyFont="1"/>
    <xf numFmtId="165" fontId="2" fillId="0" borderId="0" xfId="1" applyNumberFormat="1" applyFont="1" applyAlignment="1">
      <alignment horizontal="right"/>
    </xf>
    <xf numFmtId="165" fontId="0" fillId="0" borderId="13" xfId="1" applyNumberFormat="1" applyFont="1" applyBorder="1" applyAlignment="1">
      <alignment horizontal="right" wrapText="1"/>
    </xf>
    <xf numFmtId="167" fontId="0" fillId="0" borderId="0" xfId="1" applyNumberFormat="1" applyFont="1" applyFill="1" applyAlignment="1">
      <alignment horizontal="right"/>
    </xf>
    <xf numFmtId="1" fontId="0" fillId="0" borderId="0" xfId="1" applyNumberFormat="1" applyFont="1" applyFill="1" applyAlignment="1">
      <alignment horizontal="right"/>
    </xf>
    <xf numFmtId="0" fontId="0" fillId="3" borderId="8" xfId="0" applyFill="1" applyBorder="1"/>
    <xf numFmtId="0" fontId="37" fillId="3" borderId="0" xfId="0" applyFont="1" applyFill="1"/>
    <xf numFmtId="0" fontId="41" fillId="3" borderId="7" xfId="3" applyFont="1" applyFill="1" applyBorder="1" applyAlignment="1">
      <alignment horizontal="left"/>
    </xf>
    <xf numFmtId="0" fontId="0" fillId="5" borderId="0" xfId="0" applyFill="1" applyAlignment="1">
      <alignment horizontal="center"/>
    </xf>
    <xf numFmtId="10" fontId="0" fillId="5" borderId="0" xfId="2" applyNumberFormat="1" applyFont="1" applyFill="1"/>
    <xf numFmtId="165" fontId="0" fillId="5" borderId="0" xfId="1" applyNumberFormat="1" applyFont="1" applyFill="1"/>
    <xf numFmtId="1" fontId="0" fillId="0" borderId="0" xfId="1" applyNumberFormat="1" applyFont="1" applyFill="1"/>
    <xf numFmtId="165" fontId="0" fillId="5" borderId="0" xfId="1" applyNumberFormat="1" applyFont="1" applyFill="1" applyAlignment="1">
      <alignment horizontal="right"/>
    </xf>
    <xf numFmtId="165" fontId="0" fillId="0" borderId="0" xfId="0" applyNumberFormat="1"/>
    <xf numFmtId="10" fontId="0" fillId="0" borderId="0" xfId="0" applyNumberFormat="1"/>
    <xf numFmtId="174" fontId="0" fillId="0" borderId="0" xfId="0" applyNumberFormat="1"/>
    <xf numFmtId="43" fontId="0" fillId="0" borderId="0" xfId="0" applyNumberFormat="1"/>
    <xf numFmtId="9" fontId="0" fillId="0" borderId="0" xfId="0" applyNumberFormat="1" applyAlignment="1">
      <alignment horizontal="center"/>
    </xf>
    <xf numFmtId="165" fontId="0" fillId="0" borderId="0" xfId="1" applyNumberFormat="1" applyFont="1" applyFill="1" applyBorder="1" applyAlignment="1">
      <alignment horizontal="right"/>
    </xf>
    <xf numFmtId="1" fontId="0" fillId="0" borderId="0" xfId="2" applyNumberFormat="1" applyFont="1" applyFill="1" applyBorder="1" applyAlignment="1">
      <alignment horizontal="right"/>
    </xf>
    <xf numFmtId="165" fontId="0" fillId="0" borderId="0" xfId="0" applyNumberFormat="1" applyAlignment="1">
      <alignment horizontal="right"/>
    </xf>
    <xf numFmtId="10" fontId="0" fillId="0" borderId="0" xfId="2" applyNumberFormat="1" applyFont="1" applyBorder="1" applyAlignment="1">
      <alignment horizontal="right"/>
    </xf>
    <xf numFmtId="43" fontId="0" fillId="0" borderId="0" xfId="0" applyNumberFormat="1" applyAlignment="1">
      <alignment horizontal="right"/>
    </xf>
    <xf numFmtId="0" fontId="0" fillId="0" borderId="24" xfId="0" applyBorder="1"/>
    <xf numFmtId="0" fontId="30" fillId="0" borderId="0" xfId="0" applyFont="1"/>
    <xf numFmtId="0" fontId="30" fillId="0" borderId="13" xfId="0" applyFont="1" applyBorder="1"/>
    <xf numFmtId="3" fontId="0" fillId="0" borderId="13" xfId="0" applyNumberFormat="1" applyBorder="1" applyAlignment="1">
      <alignment vertical="center" wrapText="1"/>
    </xf>
    <xf numFmtId="0" fontId="30" fillId="0" borderId="13" xfId="3" applyFont="1" applyBorder="1" applyAlignment="1">
      <alignment horizontal="right" vertical="center" wrapText="1"/>
    </xf>
    <xf numFmtId="3" fontId="0" fillId="0" borderId="0" xfId="0" applyNumberFormat="1" applyAlignment="1">
      <alignment vertical="center" wrapText="1"/>
    </xf>
    <xf numFmtId="0" fontId="30" fillId="0" borderId="0" xfId="3" applyFont="1" applyAlignment="1">
      <alignment horizontal="center" vertical="center" wrapText="1"/>
    </xf>
    <xf numFmtId="0" fontId="8" fillId="0" borderId="0" xfId="3" applyAlignment="1">
      <alignment horizontal="center" vertical="center" wrapText="1"/>
    </xf>
    <xf numFmtId="0" fontId="0" fillId="0" borderId="25" xfId="0" applyBorder="1"/>
    <xf numFmtId="165" fontId="0" fillId="0" borderId="25" xfId="0" applyNumberFormat="1" applyBorder="1" applyAlignment="1">
      <alignment vertical="center" wrapText="1"/>
    </xf>
    <xf numFmtId="0" fontId="12" fillId="0" borderId="0" xfId="0" applyFont="1" applyAlignment="1">
      <alignment horizontal="center"/>
    </xf>
    <xf numFmtId="165" fontId="0" fillId="0" borderId="13" xfId="1" applyNumberFormat="1" applyFont="1" applyBorder="1" applyAlignment="1">
      <alignment horizontal="right"/>
    </xf>
    <xf numFmtId="165" fontId="42" fillId="0" borderId="27" xfId="1" applyNumberFormat="1" applyFont="1" applyBorder="1" applyAlignment="1">
      <alignment wrapText="1"/>
    </xf>
    <xf numFmtId="165" fontId="2" fillId="0" borderId="0" xfId="1" applyNumberFormat="1" applyFont="1"/>
    <xf numFmtId="1" fontId="2" fillId="0" borderId="0" xfId="0" applyNumberFormat="1" applyFont="1"/>
    <xf numFmtId="0" fontId="33" fillId="0" borderId="0" xfId="0" applyFont="1" applyAlignment="1">
      <alignment horizontal="center"/>
    </xf>
    <xf numFmtId="9" fontId="33" fillId="0" borderId="0" xfId="2" applyFont="1" applyAlignment="1">
      <alignment horizontal="right"/>
    </xf>
    <xf numFmtId="0" fontId="28" fillId="0" borderId="0" xfId="45" applyAlignment="1">
      <alignment horizontal="left" vertical="center"/>
    </xf>
    <xf numFmtId="0" fontId="28" fillId="0" borderId="0" xfId="45" applyAlignment="1">
      <alignment vertical="center"/>
    </xf>
    <xf numFmtId="169" fontId="28" fillId="0" borderId="0" xfId="45" applyNumberFormat="1" applyAlignment="1">
      <alignment horizontal="left" vertical="center"/>
    </xf>
    <xf numFmtId="165" fontId="0" fillId="0" borderId="0" xfId="1" applyNumberFormat="1" applyFont="1" applyBorder="1" applyAlignment="1">
      <alignment horizontal="left" wrapText="1"/>
    </xf>
    <xf numFmtId="49" fontId="38" fillId="3" borderId="7" xfId="0" quotePrefix="1" applyNumberFormat="1" applyFont="1" applyFill="1" applyBorder="1" applyAlignment="1">
      <alignment horizontal="left" vertical="center" readingOrder="1"/>
    </xf>
    <xf numFmtId="1" fontId="0" fillId="0" borderId="13" xfId="0" applyNumberFormat="1" applyBorder="1" applyAlignment="1">
      <alignment horizontal="right"/>
    </xf>
    <xf numFmtId="0" fontId="0" fillId="43" borderId="0" xfId="0" applyFill="1" applyAlignment="1">
      <alignment horizontal="center"/>
    </xf>
    <xf numFmtId="0" fontId="24" fillId="44" borderId="13" xfId="0" applyFont="1" applyFill="1" applyBorder="1" applyAlignment="1">
      <alignment horizontal="center"/>
    </xf>
    <xf numFmtId="167" fontId="0" fillId="0" borderId="0" xfId="0" applyNumberFormat="1" applyAlignment="1">
      <alignment horizontal="right" wrapText="1"/>
    </xf>
    <xf numFmtId="0" fontId="0" fillId="0" borderId="28" xfId="0" applyBorder="1" applyAlignment="1">
      <alignment horizontal="center" wrapText="1"/>
    </xf>
    <xf numFmtId="0" fontId="0" fillId="0" borderId="24" xfId="0" applyBorder="1" applyAlignment="1">
      <alignment horizontal="right" wrapText="1"/>
    </xf>
    <xf numFmtId="9" fontId="0" fillId="0" borderId="24" xfId="2" applyFont="1" applyBorder="1" applyAlignment="1">
      <alignment horizontal="right"/>
    </xf>
    <xf numFmtId="0" fontId="0" fillId="0" borderId="30" xfId="0" applyBorder="1" applyAlignment="1">
      <alignment horizontal="right" wrapText="1"/>
    </xf>
    <xf numFmtId="0" fontId="0" fillId="0" borderId="24" xfId="0" applyBorder="1" applyAlignment="1">
      <alignment horizontal="center"/>
    </xf>
    <xf numFmtId="9" fontId="0" fillId="0" borderId="0" xfId="2" applyFont="1" applyBorder="1" applyAlignment="1">
      <alignment horizontal="right"/>
    </xf>
    <xf numFmtId="2" fontId="0" fillId="0" borderId="0" xfId="2" applyNumberFormat="1" applyFont="1" applyFill="1" applyBorder="1" applyAlignment="1">
      <alignment horizontal="right"/>
    </xf>
    <xf numFmtId="2" fontId="0" fillId="0" borderId="29" xfId="0" applyNumberFormat="1" applyBorder="1" applyAlignment="1">
      <alignment horizontal="right"/>
    </xf>
    <xf numFmtId="1" fontId="0" fillId="0" borderId="0" xfId="0" applyNumberFormat="1" applyAlignment="1">
      <alignment horizontal="center"/>
    </xf>
    <xf numFmtId="171" fontId="11" fillId="0" borderId="0" xfId="0" applyNumberFormat="1" applyFont="1" applyAlignment="1">
      <alignment horizontal="right"/>
    </xf>
    <xf numFmtId="0" fontId="0" fillId="3" borderId="0" xfId="0" applyFill="1" applyAlignment="1">
      <alignment horizontal="center"/>
    </xf>
    <xf numFmtId="166" fontId="0" fillId="0" borderId="0" xfId="0" applyNumberFormat="1"/>
    <xf numFmtId="164" fontId="1" fillId="0" borderId="0" xfId="2" applyNumberFormat="1" applyFont="1"/>
    <xf numFmtId="10" fontId="43" fillId="0" borderId="0" xfId="0" applyNumberFormat="1" applyFont="1"/>
    <xf numFmtId="164" fontId="43" fillId="0" borderId="0" xfId="0" applyNumberFormat="1" applyFont="1"/>
    <xf numFmtId="0" fontId="28" fillId="0" borderId="0" xfId="0" applyFont="1" applyAlignment="1">
      <alignment horizontal="center" vertical="center"/>
    </xf>
    <xf numFmtId="2" fontId="28" fillId="0" borderId="0" xfId="0" applyNumberFormat="1" applyFont="1"/>
    <xf numFmtId="0" fontId="44" fillId="0" borderId="13" xfId="0" applyFont="1" applyBorder="1" applyAlignment="1">
      <alignment horizontal="right" wrapText="1"/>
    </xf>
    <xf numFmtId="0" fontId="44" fillId="0" borderId="13" xfId="0" applyFont="1" applyBorder="1" applyAlignment="1">
      <alignment horizontal="left" wrapText="1"/>
    </xf>
    <xf numFmtId="0" fontId="44" fillId="0" borderId="0" xfId="0" applyFont="1" applyAlignment="1">
      <alignment horizontal="left"/>
    </xf>
    <xf numFmtId="164" fontId="45" fillId="0" borderId="0" xfId="0" applyNumberFormat="1" applyFont="1"/>
    <xf numFmtId="0" fontId="44" fillId="0" borderId="13" xfId="0" applyFont="1" applyBorder="1" applyAlignment="1">
      <alignment horizontal="center" wrapText="1"/>
    </xf>
    <xf numFmtId="164" fontId="45" fillId="0" borderId="0" xfId="0" applyNumberFormat="1" applyFont="1" applyAlignment="1">
      <alignment horizontal="center"/>
    </xf>
    <xf numFmtId="0" fontId="45" fillId="0" borderId="0" xfId="0" applyFont="1" applyAlignment="1">
      <alignment horizontal="center"/>
    </xf>
    <xf numFmtId="0" fontId="12" fillId="0" borderId="24" xfId="0" applyFont="1" applyBorder="1" applyAlignment="1">
      <alignment horizontal="center"/>
    </xf>
    <xf numFmtId="0" fontId="12" fillId="0" borderId="0" xfId="0" applyFont="1" applyAlignment="1">
      <alignment horizontal="center"/>
    </xf>
    <xf numFmtId="0" fontId="12" fillId="0" borderId="29" xfId="0" applyFont="1" applyBorder="1" applyAlignment="1">
      <alignment horizontal="center"/>
    </xf>
    <xf numFmtId="0" fontId="7" fillId="0" borderId="6" xfId="0" applyFont="1" applyBorder="1" applyAlignment="1">
      <alignment horizontal="left" wrapText="1"/>
    </xf>
    <xf numFmtId="0" fontId="7" fillId="0" borderId="7" xfId="0" applyFont="1" applyBorder="1" applyAlignment="1">
      <alignment horizontal="left" wrapText="1"/>
    </xf>
    <xf numFmtId="0" fontId="7" fillId="0" borderId="8" xfId="0" applyFont="1" applyBorder="1" applyAlignment="1">
      <alignment horizontal="left" wrapText="1"/>
    </xf>
    <xf numFmtId="0" fontId="11" fillId="0" borderId="0" xfId="0" applyFont="1" applyAlignment="1">
      <alignment horizontal="left" vertical="top" wrapText="1"/>
    </xf>
    <xf numFmtId="0" fontId="0" fillId="0" borderId="0" xfId="0"/>
    <xf numFmtId="0" fontId="0" fillId="0" borderId="0" xfId="0" applyAlignment="1">
      <alignment horizontal="center" wrapText="1"/>
    </xf>
    <xf numFmtId="0" fontId="0" fillId="0" borderId="13" xfId="0" applyBorder="1" applyAlignment="1">
      <alignment horizontal="center"/>
    </xf>
    <xf numFmtId="0" fontId="30" fillId="0" borderId="13" xfId="0" applyFont="1" applyBorder="1" applyAlignment="1">
      <alignment horizontal="center"/>
    </xf>
    <xf numFmtId="0" fontId="0" fillId="0" borderId="0" xfId="0" applyAlignment="1">
      <alignment horizontal="left" vertical="top" wrapText="1"/>
    </xf>
    <xf numFmtId="0" fontId="0" fillId="0" borderId="0" xfId="0" applyAlignment="1">
      <alignment horizontal="left" vertical="top"/>
    </xf>
    <xf numFmtId="0" fontId="12" fillId="0" borderId="26" xfId="0" applyFont="1" applyBorder="1" applyAlignment="1">
      <alignment horizontal="center"/>
    </xf>
  </cellXfs>
  <cellStyles count="48">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xfId="1" builtinId="3"/>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3" builtinId="8"/>
    <cellStyle name="Hyperlink 2" xfId="46" xr:uid="{145CF181-56E8-4559-A137-C01211750D09}"/>
    <cellStyle name="Input" xfId="12" builtinId="20" customBuiltin="1"/>
    <cellStyle name="Linked Cell" xfId="15" builtinId="24" customBuiltin="1"/>
    <cellStyle name="Neutral" xfId="11" builtinId="28" customBuiltin="1"/>
    <cellStyle name="Normal" xfId="0" builtinId="0"/>
    <cellStyle name="Normal 2" xfId="45" xr:uid="{F43FB582-0A7F-4454-9856-CF1DF9A91DB5}"/>
    <cellStyle name="Normal 3" xfId="47" xr:uid="{B8D994A8-C234-440B-8184-53E83B208814}"/>
    <cellStyle name="Note" xfId="18" builtinId="10" customBuiltin="1"/>
    <cellStyle name="Output" xfId="13" builtinId="21" customBuiltin="1"/>
    <cellStyle name="Percent" xfId="2" builtinId="5"/>
    <cellStyle name="Title" xfId="4" builtinId="15" customBuiltin="1"/>
    <cellStyle name="Total" xfId="20" builtinId="25" customBuiltin="1"/>
    <cellStyle name="Warning Text" xfId="17" builtinId="11" customBuiltin="1"/>
  </cellStyles>
  <dxfs count="10">
    <dxf>
      <border outline="0">
        <bottom style="thin">
          <color indexed="64"/>
        </bottom>
      </border>
    </dxf>
    <dxf>
      <numFmt numFmtId="2" formatCode="0.00"/>
    </dxf>
    <dxf>
      <numFmt numFmtId="2" formatCode="0.00"/>
    </dxf>
    <dxf>
      <numFmt numFmtId="2" formatCode="0.00"/>
    </dxf>
    <dxf>
      <numFmt numFmtId="2" formatCode="0.00"/>
    </dxf>
    <dxf>
      <numFmt numFmtId="2" formatCode="0.00"/>
    </dxf>
    <dxf>
      <numFmt numFmtId="2" formatCode="0.00"/>
    </dxf>
    <dxf>
      <alignment horizontal="center" vertical="bottom" textRotation="0" wrapText="0" indent="0" justifyLastLine="0" shrinkToFit="0" readingOrder="0"/>
    </dxf>
    <dxf>
      <border outline="0">
        <bottom style="thin">
          <color indexed="64"/>
        </bottom>
      </border>
    </dxf>
    <dxf>
      <alignment horizontal="right" vertical="bottom" textRotation="0" wrapText="0" indent="0" justifyLastLine="0" shrinkToFit="0" readingOrder="0"/>
    </dxf>
  </dxfs>
  <tableStyles count="0" defaultTableStyle="TableStyleMedium2" defaultPivotStyle="PivotStyleLight16"/>
  <colors>
    <mruColors>
      <color rgb="FFB5E6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162560</xdr:rowOff>
    </xdr:from>
    <xdr:to>
      <xdr:col>9</xdr:col>
      <xdr:colOff>381000</xdr:colOff>
      <xdr:row>6</xdr:row>
      <xdr:rowOff>63071</xdr:rowOff>
    </xdr:to>
    <xdr:pic>
      <xdr:nvPicPr>
        <xdr:cNvPr id="3" name="Picture 2" descr="LBNL_Banner.psd">
          <a:extLst>
            <a:ext uri="{FF2B5EF4-FFF2-40B4-BE49-F238E27FC236}">
              <a16:creationId xmlns:a16="http://schemas.microsoft.com/office/drawing/2014/main" id="{3339C3E1-A368-4B50-88CA-A1B11D205AC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9227"/>
        <a:stretch/>
      </xdr:blipFill>
      <xdr:spPr bwMode="auto">
        <a:xfrm>
          <a:off x="609600" y="162560"/>
          <a:ext cx="6000750" cy="1043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8</xdr:row>
      <xdr:rowOff>142875</xdr:rowOff>
    </xdr:from>
    <xdr:to>
      <xdr:col>6</xdr:col>
      <xdr:colOff>493104</xdr:colOff>
      <xdr:row>26</xdr:row>
      <xdr:rowOff>171449</xdr:rowOff>
    </xdr:to>
    <xdr:pic>
      <xdr:nvPicPr>
        <xdr:cNvPr id="5" name="Picture 4">
          <a:extLst>
            <a:ext uri="{FF2B5EF4-FFF2-40B4-BE49-F238E27FC236}">
              <a16:creationId xmlns:a16="http://schemas.microsoft.com/office/drawing/2014/main" id="{D5D0A057-3128-10F8-45B9-B070A3674105}"/>
            </a:ext>
          </a:extLst>
        </xdr:cNvPr>
        <xdr:cNvPicPr>
          <a:picLocks noChangeAspect="1"/>
        </xdr:cNvPicPr>
      </xdr:nvPicPr>
      <xdr:blipFill>
        <a:blip xmlns:r="http://schemas.openxmlformats.org/officeDocument/2006/relationships" r:embed="rId2"/>
        <a:srcRect l="14722" r="4768"/>
        <a:stretch/>
      </xdr:blipFill>
      <xdr:spPr>
        <a:xfrm>
          <a:off x="619125" y="2047875"/>
          <a:ext cx="4141179" cy="51530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DA9615-2594-4A04-BC66-234A25145E49}" name="tblCPI" displayName="tblCPI" ref="A4:G25" totalsRowShown="0" headerRowDxfId="9" headerRowBorderDxfId="8">
  <autoFilter ref="A4:G25" xr:uid="{6FDA9615-2594-4A04-BC66-234A25145E4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6979886-7EFF-4B8B-8D54-DB50876D408F}" name="Year" dataDxfId="7"/>
    <tableColumn id="2" xr3:uid="{4195AB3A-0063-44B4-8EDA-A79E872108B0}" name="West" dataDxfId="6"/>
    <tableColumn id="3" xr3:uid="{973A0217-A445-4E9D-8516-C21D7460DA5E}" name="Midwest" dataDxfId="5"/>
    <tableColumn id="4" xr3:uid="{8CA62807-70A3-47F4-97FA-88B5EAC36A9F}" name="South" dataDxfId="4"/>
    <tableColumn id="5" xr3:uid="{B538E5C2-20A9-41B2-BAE1-C0617F4E427D}" name="Northeast" dataDxfId="3"/>
    <tableColumn id="6" xr3:uid="{AA857E41-9056-4F53-97A6-671BF6D4FC61}" name="National" dataDxfId="2"/>
    <tableColumn id="7" xr3:uid="{49DD7AFA-AA5E-4754-8898-DDF2D7A8B824}" name="Column1" dataDxfId="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C19EA8A-4915-4C76-AE10-DC40152535EA}" name="tblCPI_Map" displayName="tblCPI_Map" ref="I4:J68" totalsRowShown="0" headerRowBorderDxfId="0">
  <autoFilter ref="I4:J68" xr:uid="{AC19EA8A-4915-4C76-AE10-DC40152535EA}">
    <filterColumn colId="0" hiddenButton="1"/>
    <filterColumn colId="1" hiddenButton="1"/>
  </autoFilter>
  <tableColumns count="2">
    <tableColumn id="1" xr3:uid="{8C3AA80A-E1DD-4D1D-B21E-D9008095F7E6}" name="Census Division and State"/>
    <tableColumn id="2" xr3:uid="{8FFA0D6D-5EC3-4102-8C4C-95DB13D340C0}" name="CPI Regio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mp.lbl.gov/retail-electricity-price-trends-and-drivers" TargetMode="External"/></Relationships>
</file>

<file path=xl/worksheets/_rels/sheet15.xml.rels><?xml version="1.0" encoding="UTF-8" standalone="yes"?>
<Relationships xmlns="http://schemas.openxmlformats.org/package/2006/relationships"><Relationship Id="rId13" Type="http://schemas.openxmlformats.org/officeDocument/2006/relationships/hyperlink" Target="https://fred.stlouisfed.org/series/MEHOINUSHIA646N" TargetMode="External"/><Relationship Id="rId18" Type="http://schemas.openxmlformats.org/officeDocument/2006/relationships/hyperlink" Target="https://fred.stlouisfed.org/series/MEHOINUSKSA646N" TargetMode="External"/><Relationship Id="rId26" Type="http://schemas.openxmlformats.org/officeDocument/2006/relationships/hyperlink" Target="https://fred.stlouisfed.org/series/MEHOINUSMSA646N" TargetMode="External"/><Relationship Id="rId39" Type="http://schemas.openxmlformats.org/officeDocument/2006/relationships/hyperlink" Target="https://fred.stlouisfed.org/series/MEHOINUSORA646N" TargetMode="External"/><Relationship Id="rId21" Type="http://schemas.openxmlformats.org/officeDocument/2006/relationships/hyperlink" Target="https://fred.stlouisfed.org/series/MEHOINUSMEA646N" TargetMode="External"/><Relationship Id="rId34" Type="http://schemas.openxmlformats.org/officeDocument/2006/relationships/hyperlink" Target="https://fred.stlouisfed.org/series/MEHOINUSNYA646N" TargetMode="External"/><Relationship Id="rId42" Type="http://schemas.openxmlformats.org/officeDocument/2006/relationships/hyperlink" Target="https://fred.stlouisfed.org/series/MEHOINUSSCA646N" TargetMode="External"/><Relationship Id="rId47" Type="http://schemas.openxmlformats.org/officeDocument/2006/relationships/hyperlink" Target="https://fred.stlouisfed.org/series/MEHOINUSVTA646N" TargetMode="External"/><Relationship Id="rId50" Type="http://schemas.openxmlformats.org/officeDocument/2006/relationships/hyperlink" Target="https://fred.stlouisfed.org/series/MEHOINUSWVA646N" TargetMode="External"/><Relationship Id="rId7" Type="http://schemas.openxmlformats.org/officeDocument/2006/relationships/hyperlink" Target="https://fred.stlouisfed.org/series/MEHOINUSCOA646N" TargetMode="External"/><Relationship Id="rId2" Type="http://schemas.openxmlformats.org/officeDocument/2006/relationships/hyperlink" Target="https://fred.stlouisfed.org/series/MEHOINUSALA646N" TargetMode="External"/><Relationship Id="rId16" Type="http://schemas.openxmlformats.org/officeDocument/2006/relationships/hyperlink" Target="https://fred.stlouisfed.org/series/MEHOINUSINA646N" TargetMode="External"/><Relationship Id="rId29" Type="http://schemas.openxmlformats.org/officeDocument/2006/relationships/hyperlink" Target="https://fred.stlouisfed.org/series/MEHOINUSNEA646N" TargetMode="External"/><Relationship Id="rId11" Type="http://schemas.openxmlformats.org/officeDocument/2006/relationships/hyperlink" Target="https://fred.stlouisfed.org/series/MEHOINUSFLA646N" TargetMode="External"/><Relationship Id="rId24" Type="http://schemas.openxmlformats.org/officeDocument/2006/relationships/hyperlink" Target="https://fred.stlouisfed.org/series/MEHOINUSMIA646N" TargetMode="External"/><Relationship Id="rId32" Type="http://schemas.openxmlformats.org/officeDocument/2006/relationships/hyperlink" Target="https://fred.stlouisfed.org/series/MEHOINUSNJA646N" TargetMode="External"/><Relationship Id="rId37" Type="http://schemas.openxmlformats.org/officeDocument/2006/relationships/hyperlink" Target="https://fred.stlouisfed.org/series/MEHOINUSOHA646N" TargetMode="External"/><Relationship Id="rId40" Type="http://schemas.openxmlformats.org/officeDocument/2006/relationships/hyperlink" Target="https://fred.stlouisfed.org/series/MEHOINUSPAA646N" TargetMode="External"/><Relationship Id="rId45" Type="http://schemas.openxmlformats.org/officeDocument/2006/relationships/hyperlink" Target="https://fred.stlouisfed.org/series/MEHOINUSTXA646N" TargetMode="External"/><Relationship Id="rId53" Type="http://schemas.openxmlformats.org/officeDocument/2006/relationships/printerSettings" Target="../printerSettings/printerSettings6.bin"/><Relationship Id="rId5" Type="http://schemas.openxmlformats.org/officeDocument/2006/relationships/hyperlink" Target="https://fred.stlouisfed.org/series/MEHOINUSARA646N" TargetMode="External"/><Relationship Id="rId10" Type="http://schemas.openxmlformats.org/officeDocument/2006/relationships/hyperlink" Target="https://fred.stlouisfed.org/series/MEHOINUSDCA646N" TargetMode="External"/><Relationship Id="rId19" Type="http://schemas.openxmlformats.org/officeDocument/2006/relationships/hyperlink" Target="https://fred.stlouisfed.org/series/MEHOINUSKYA646N" TargetMode="External"/><Relationship Id="rId31" Type="http://schemas.openxmlformats.org/officeDocument/2006/relationships/hyperlink" Target="https://fred.stlouisfed.org/series/MEHOINUSNHA646N" TargetMode="External"/><Relationship Id="rId44" Type="http://schemas.openxmlformats.org/officeDocument/2006/relationships/hyperlink" Target="https://fred.stlouisfed.org/series/MEHOINUSTNA646N" TargetMode="External"/><Relationship Id="rId52" Type="http://schemas.openxmlformats.org/officeDocument/2006/relationships/hyperlink" Target="https://fred.stlouisfed.org/series/MEHOINUSWYA646N" TargetMode="External"/><Relationship Id="rId4" Type="http://schemas.openxmlformats.org/officeDocument/2006/relationships/hyperlink" Target="https://fred.stlouisfed.org/series/MEHOINUSAZA646N" TargetMode="External"/><Relationship Id="rId9" Type="http://schemas.openxmlformats.org/officeDocument/2006/relationships/hyperlink" Target="https://fred.stlouisfed.org/series/MEHOINUSDEA646N" TargetMode="External"/><Relationship Id="rId14" Type="http://schemas.openxmlformats.org/officeDocument/2006/relationships/hyperlink" Target="https://fred.stlouisfed.org/series/MEHOINUSIDA646N" TargetMode="External"/><Relationship Id="rId22" Type="http://schemas.openxmlformats.org/officeDocument/2006/relationships/hyperlink" Target="https://fred.stlouisfed.org/series/MEHOINUSMDA646N" TargetMode="External"/><Relationship Id="rId27" Type="http://schemas.openxmlformats.org/officeDocument/2006/relationships/hyperlink" Target="https://fred.stlouisfed.org/series/MEHOINUSMOA646N" TargetMode="External"/><Relationship Id="rId30" Type="http://schemas.openxmlformats.org/officeDocument/2006/relationships/hyperlink" Target="https://fred.stlouisfed.org/series/MEHOINUSNVA646N" TargetMode="External"/><Relationship Id="rId35" Type="http://schemas.openxmlformats.org/officeDocument/2006/relationships/hyperlink" Target="https://fred.stlouisfed.org/series/MEHOINUSNCA646N" TargetMode="External"/><Relationship Id="rId43" Type="http://schemas.openxmlformats.org/officeDocument/2006/relationships/hyperlink" Target="https://fred.stlouisfed.org/series/MEHOINUSSDA646N" TargetMode="External"/><Relationship Id="rId48" Type="http://schemas.openxmlformats.org/officeDocument/2006/relationships/hyperlink" Target="https://fred.stlouisfed.org/series/MEHOINUSVAA646N" TargetMode="External"/><Relationship Id="rId8" Type="http://schemas.openxmlformats.org/officeDocument/2006/relationships/hyperlink" Target="https://fred.stlouisfed.org/series/MEHOINUSCTA646N" TargetMode="External"/><Relationship Id="rId51" Type="http://schemas.openxmlformats.org/officeDocument/2006/relationships/hyperlink" Target="https://fred.stlouisfed.org/series/MEHOINUSWIA646N" TargetMode="External"/><Relationship Id="rId3" Type="http://schemas.openxmlformats.org/officeDocument/2006/relationships/hyperlink" Target="https://fred.stlouisfed.org/series/MEHOINUSAKA646N" TargetMode="External"/><Relationship Id="rId12" Type="http://schemas.openxmlformats.org/officeDocument/2006/relationships/hyperlink" Target="https://fred.stlouisfed.org/series/MEHOINUSGAA646N" TargetMode="External"/><Relationship Id="rId17" Type="http://schemas.openxmlformats.org/officeDocument/2006/relationships/hyperlink" Target="https://fred.stlouisfed.org/series/MEHOINUSIAA646N" TargetMode="External"/><Relationship Id="rId25" Type="http://schemas.openxmlformats.org/officeDocument/2006/relationships/hyperlink" Target="https://fred.stlouisfed.org/series/MEHOINUSMNA646N" TargetMode="External"/><Relationship Id="rId33" Type="http://schemas.openxmlformats.org/officeDocument/2006/relationships/hyperlink" Target="https://fred.stlouisfed.org/series/MEHOINUSNMA646N" TargetMode="External"/><Relationship Id="rId38" Type="http://schemas.openxmlformats.org/officeDocument/2006/relationships/hyperlink" Target="https://fred.stlouisfed.org/series/MEHOINUSOKA646N" TargetMode="External"/><Relationship Id="rId46" Type="http://schemas.openxmlformats.org/officeDocument/2006/relationships/hyperlink" Target="https://fred.stlouisfed.org/series/MEHOINUSUTA646N" TargetMode="External"/><Relationship Id="rId20" Type="http://schemas.openxmlformats.org/officeDocument/2006/relationships/hyperlink" Target="https://fred.stlouisfed.org/series/MEHOINUSLAA646N" TargetMode="External"/><Relationship Id="rId41" Type="http://schemas.openxmlformats.org/officeDocument/2006/relationships/hyperlink" Target="https://fred.stlouisfed.org/series/MEHOINUSRIA646N" TargetMode="External"/><Relationship Id="rId1" Type="http://schemas.openxmlformats.org/officeDocument/2006/relationships/hyperlink" Target="https://fred.stlouisfed.org/series/MEHOINUSA646N" TargetMode="External"/><Relationship Id="rId6" Type="http://schemas.openxmlformats.org/officeDocument/2006/relationships/hyperlink" Target="https://fred.stlouisfed.org/series/MEHOINUSCAA646N" TargetMode="External"/><Relationship Id="rId15" Type="http://schemas.openxmlformats.org/officeDocument/2006/relationships/hyperlink" Target="https://fred.stlouisfed.org/series/MEHOINUSILA646N" TargetMode="External"/><Relationship Id="rId23" Type="http://schemas.openxmlformats.org/officeDocument/2006/relationships/hyperlink" Target="https://fred.stlouisfed.org/series/MEHOINUSMAA646N" TargetMode="External"/><Relationship Id="rId28" Type="http://schemas.openxmlformats.org/officeDocument/2006/relationships/hyperlink" Target="https://fred.stlouisfed.org/series/MEHOINUSMTA646N" TargetMode="External"/><Relationship Id="rId36" Type="http://schemas.openxmlformats.org/officeDocument/2006/relationships/hyperlink" Target="https://fred.stlouisfed.org/series/MEHOINUSNDA646N" TargetMode="External"/><Relationship Id="rId49" Type="http://schemas.openxmlformats.org/officeDocument/2006/relationships/hyperlink" Target="https://fred.stlouisfed.org/series/MEHOINUSWAA646N"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6DCA6-B979-46B2-9DFA-6C156E51BACE}">
  <sheetPr>
    <tabColor theme="1" tint="0.34998626667073579"/>
  </sheetPr>
  <dimension ref="A1:S37"/>
  <sheetViews>
    <sheetView tabSelected="1" workbookViewId="0">
      <selection activeCell="H20" sqref="H20"/>
    </sheetView>
  </sheetViews>
  <sheetFormatPr defaultRowHeight="15" x14ac:dyDescent="0.25"/>
  <cols>
    <col min="8" max="19" width="10.140625" customWidth="1"/>
  </cols>
  <sheetData>
    <row r="1" spans="1:19" x14ac:dyDescent="0.25">
      <c r="A1" s="1"/>
      <c r="B1" s="2"/>
      <c r="C1" s="2"/>
      <c r="D1" s="2"/>
      <c r="E1" s="2"/>
      <c r="F1" s="2"/>
      <c r="G1" s="2"/>
      <c r="H1" s="2"/>
      <c r="I1" s="2"/>
      <c r="J1" s="2"/>
      <c r="K1" s="2"/>
      <c r="L1" s="2"/>
      <c r="M1" s="2"/>
      <c r="N1" s="2"/>
      <c r="O1" s="2"/>
      <c r="P1" s="2"/>
      <c r="Q1" s="2"/>
      <c r="R1" s="2"/>
      <c r="S1" s="3"/>
    </row>
    <row r="2" spans="1:19" x14ac:dyDescent="0.25">
      <c r="A2" s="4"/>
      <c r="B2" s="5"/>
      <c r="C2" s="5"/>
      <c r="D2" s="5"/>
      <c r="E2" s="5"/>
      <c r="F2" s="5"/>
      <c r="G2" s="5"/>
      <c r="H2" s="5"/>
      <c r="I2" s="5"/>
      <c r="J2" s="5"/>
      <c r="K2" s="5"/>
      <c r="L2" s="5"/>
      <c r="M2" s="5"/>
      <c r="N2" s="5"/>
      <c r="O2" s="5"/>
      <c r="P2" s="5"/>
      <c r="Q2" s="5"/>
      <c r="R2" s="5"/>
      <c r="S2" s="6"/>
    </row>
    <row r="3" spans="1:19" x14ac:dyDescent="0.25">
      <c r="A3" s="4"/>
      <c r="B3" s="5"/>
      <c r="C3" s="5"/>
      <c r="D3" s="5"/>
      <c r="E3" s="5"/>
      <c r="F3" s="5"/>
      <c r="G3" s="5"/>
      <c r="H3" s="5"/>
      <c r="I3" s="5"/>
      <c r="J3" s="5"/>
      <c r="K3" s="5"/>
      <c r="L3" s="5"/>
      <c r="M3" s="5"/>
      <c r="N3" s="5"/>
      <c r="O3" s="5"/>
      <c r="P3" s="5"/>
      <c r="Q3" s="5"/>
      <c r="R3" s="5"/>
      <c r="S3" s="6"/>
    </row>
    <row r="4" spans="1:19" x14ac:dyDescent="0.25">
      <c r="A4" s="4"/>
      <c r="B4" s="5"/>
      <c r="C4" s="5"/>
      <c r="D4" s="5"/>
      <c r="E4" s="5"/>
      <c r="F4" s="5"/>
      <c r="G4" s="5"/>
      <c r="H4" s="5"/>
      <c r="I4" s="5"/>
      <c r="J4" s="5"/>
      <c r="K4" s="5"/>
      <c r="L4" s="5"/>
      <c r="M4" s="5"/>
      <c r="N4" s="5"/>
      <c r="O4" s="5"/>
      <c r="P4" s="5"/>
      <c r="Q4" s="5"/>
      <c r="R4" s="5"/>
      <c r="S4" s="6"/>
    </row>
    <row r="5" spans="1:19" x14ac:dyDescent="0.25">
      <c r="A5" s="4"/>
      <c r="B5" s="5"/>
      <c r="C5" s="5"/>
      <c r="D5" s="5"/>
      <c r="E5" s="5"/>
      <c r="F5" s="5"/>
      <c r="G5" s="5"/>
      <c r="H5" s="5"/>
      <c r="I5" s="5"/>
      <c r="J5" s="5"/>
      <c r="K5" s="5"/>
      <c r="L5" s="5"/>
      <c r="M5" s="5"/>
      <c r="N5" s="5"/>
      <c r="O5" s="5"/>
      <c r="P5" s="5"/>
      <c r="Q5" s="5"/>
      <c r="R5" s="5"/>
      <c r="S5" s="6"/>
    </row>
    <row r="6" spans="1:19" x14ac:dyDescent="0.25">
      <c r="A6" s="4"/>
      <c r="B6" s="5"/>
      <c r="C6" s="5"/>
      <c r="D6" s="5"/>
      <c r="E6" s="5"/>
      <c r="F6" s="5"/>
      <c r="G6" s="5"/>
      <c r="H6" s="5"/>
      <c r="I6" s="5"/>
      <c r="J6" s="5"/>
      <c r="K6" s="5"/>
      <c r="L6" s="5"/>
      <c r="M6" s="5"/>
      <c r="N6" s="5"/>
      <c r="O6" s="5"/>
      <c r="P6" s="5"/>
      <c r="Q6" s="5"/>
      <c r="R6" s="5"/>
      <c r="S6" s="6"/>
    </row>
    <row r="7" spans="1:19" x14ac:dyDescent="0.25">
      <c r="A7" s="4"/>
      <c r="B7" s="5"/>
      <c r="C7" s="5"/>
      <c r="D7" s="5"/>
      <c r="E7" s="5"/>
      <c r="F7" s="5"/>
      <c r="G7" s="5"/>
      <c r="H7" s="5"/>
      <c r="I7" s="5"/>
      <c r="J7" s="5"/>
      <c r="K7" s="5"/>
      <c r="L7" s="5"/>
      <c r="M7" s="5"/>
      <c r="N7" s="5"/>
      <c r="O7" s="5"/>
      <c r="P7" s="5"/>
      <c r="Q7" s="5"/>
      <c r="R7" s="5"/>
      <c r="S7" s="6"/>
    </row>
    <row r="8" spans="1:19" hidden="1" x14ac:dyDescent="0.25"/>
    <row r="9" spans="1:19" ht="48" x14ac:dyDescent="0.65">
      <c r="A9" s="7"/>
      <c r="B9" s="8"/>
      <c r="C9" s="8"/>
      <c r="D9" s="8"/>
      <c r="E9" s="8"/>
      <c r="F9" s="9"/>
      <c r="G9" s="8"/>
      <c r="H9" s="8"/>
      <c r="I9" s="8"/>
      <c r="J9" s="8"/>
      <c r="K9" s="8"/>
      <c r="L9" s="8"/>
      <c r="M9" s="8"/>
      <c r="N9" s="8"/>
      <c r="O9" s="8"/>
      <c r="P9" s="8"/>
      <c r="Q9" s="8"/>
      <c r="R9" s="8"/>
      <c r="S9" s="10"/>
    </row>
    <row r="10" spans="1:19" ht="37.5" x14ac:dyDescent="0.5">
      <c r="A10" s="7"/>
      <c r="B10" s="8"/>
      <c r="C10" s="8"/>
      <c r="D10" s="8"/>
      <c r="E10" s="8"/>
      <c r="G10" s="8"/>
      <c r="H10" s="63" t="s">
        <v>0</v>
      </c>
      <c r="I10" s="8"/>
      <c r="J10" s="8"/>
      <c r="K10" s="8"/>
      <c r="L10" s="8"/>
      <c r="M10" s="8"/>
      <c r="N10" s="8"/>
      <c r="O10" s="8"/>
      <c r="P10" s="8"/>
      <c r="Q10" s="8"/>
      <c r="R10" s="8"/>
      <c r="S10" s="10"/>
    </row>
    <row r="11" spans="1:19" ht="34.5" x14ac:dyDescent="0.45">
      <c r="A11" s="7"/>
      <c r="B11" s="8"/>
      <c r="C11" s="8"/>
      <c r="D11" s="8"/>
      <c r="E11" s="8"/>
      <c r="G11" s="8"/>
      <c r="H11" s="23" t="s">
        <v>1</v>
      </c>
      <c r="I11" s="8"/>
      <c r="J11" s="8"/>
      <c r="K11" s="8"/>
      <c r="L11" s="8"/>
      <c r="M11" s="8"/>
      <c r="N11" s="8"/>
      <c r="O11" s="8"/>
      <c r="P11" s="8"/>
      <c r="Q11" s="8"/>
      <c r="R11" s="8"/>
      <c r="S11" s="10"/>
    </row>
    <row r="12" spans="1:19" x14ac:dyDescent="0.25">
      <c r="A12" s="7"/>
      <c r="B12" s="8"/>
      <c r="C12" s="8"/>
      <c r="D12" s="8"/>
      <c r="E12" s="8"/>
      <c r="G12" s="8"/>
      <c r="H12" s="11"/>
      <c r="I12" s="8"/>
      <c r="J12" s="8"/>
      <c r="K12" s="8"/>
      <c r="L12" s="8"/>
      <c r="M12" s="8"/>
      <c r="N12" s="8"/>
      <c r="O12" s="8"/>
      <c r="P12" s="8"/>
      <c r="Q12" s="8"/>
      <c r="R12" s="8"/>
      <c r="S12" s="10"/>
    </row>
    <row r="13" spans="1:19" ht="21.75" x14ac:dyDescent="0.25">
      <c r="A13" s="7"/>
      <c r="B13" s="8"/>
      <c r="C13" s="8"/>
      <c r="D13" s="8"/>
      <c r="E13" s="8"/>
      <c r="G13" s="8"/>
      <c r="H13" s="210" t="s">
        <v>2</v>
      </c>
      <c r="I13" s="8"/>
      <c r="J13" s="8"/>
      <c r="K13" s="8"/>
      <c r="L13" s="8"/>
      <c r="M13" s="8"/>
      <c r="N13" s="8"/>
      <c r="O13" s="8"/>
      <c r="P13" s="8"/>
      <c r="Q13" s="8"/>
      <c r="R13" s="8"/>
      <c r="S13" s="10"/>
    </row>
    <row r="14" spans="1:19" ht="21.75" x14ac:dyDescent="0.25">
      <c r="A14" s="7"/>
      <c r="B14" s="8"/>
      <c r="C14" s="8"/>
      <c r="D14" s="8"/>
      <c r="E14" s="8"/>
      <c r="G14" s="8"/>
      <c r="H14" s="210" t="s">
        <v>3</v>
      </c>
      <c r="I14" s="8"/>
      <c r="J14" s="8"/>
      <c r="K14" s="8"/>
      <c r="L14" s="8"/>
      <c r="M14" s="8"/>
      <c r="N14" s="8"/>
      <c r="O14" s="8"/>
      <c r="P14" s="8"/>
      <c r="Q14" s="8"/>
      <c r="R14" s="8"/>
      <c r="S14" s="10"/>
    </row>
    <row r="15" spans="1:19" ht="21.75" x14ac:dyDescent="0.25">
      <c r="A15" s="7"/>
      <c r="B15" s="8"/>
      <c r="C15" s="8"/>
      <c r="D15" s="8"/>
      <c r="E15" s="8"/>
      <c r="G15" s="8"/>
      <c r="H15" s="211" t="s">
        <v>4</v>
      </c>
      <c r="I15" s="8"/>
      <c r="J15" s="8"/>
      <c r="K15" s="8"/>
      <c r="L15" s="8"/>
      <c r="M15" s="8"/>
      <c r="N15" s="8"/>
      <c r="O15" s="8"/>
      <c r="P15" s="8"/>
      <c r="Q15" s="8"/>
      <c r="R15" s="8"/>
      <c r="S15" s="10"/>
    </row>
    <row r="16" spans="1:19" ht="20.25" x14ac:dyDescent="0.25">
      <c r="A16" s="7"/>
      <c r="B16" s="8"/>
      <c r="C16" s="8"/>
      <c r="D16" s="8"/>
      <c r="E16" s="8"/>
      <c r="G16" s="8"/>
      <c r="H16" s="212"/>
      <c r="I16" s="8"/>
      <c r="J16" s="8"/>
      <c r="K16" s="8"/>
      <c r="L16" s="8"/>
      <c r="M16" s="8"/>
      <c r="N16" s="8"/>
      <c r="O16" s="8"/>
      <c r="P16" s="8"/>
      <c r="Q16" s="8"/>
      <c r="R16" s="8"/>
      <c r="S16" s="10"/>
    </row>
    <row r="17" spans="1:19" ht="21.75" x14ac:dyDescent="0.25">
      <c r="A17" s="7"/>
      <c r="B17" s="8"/>
      <c r="C17" s="8"/>
      <c r="D17" s="8"/>
      <c r="E17" s="8"/>
      <c r="G17" s="8"/>
      <c r="H17" s="213" t="s">
        <v>5</v>
      </c>
      <c r="I17" s="8"/>
      <c r="J17" s="8"/>
      <c r="K17" s="8"/>
      <c r="L17" s="8"/>
      <c r="M17" s="8"/>
      <c r="N17" s="8"/>
      <c r="O17" s="8"/>
      <c r="P17" s="8"/>
      <c r="Q17" s="8"/>
      <c r="R17" s="8"/>
      <c r="S17" s="10"/>
    </row>
    <row r="18" spans="1:19" ht="21.75" x14ac:dyDescent="0.25">
      <c r="A18" s="7"/>
      <c r="B18" s="8"/>
      <c r="C18" s="8"/>
      <c r="D18" s="8"/>
      <c r="E18" s="8"/>
      <c r="G18" s="8"/>
      <c r="H18" s="211" t="s">
        <v>6</v>
      </c>
      <c r="I18" s="8"/>
      <c r="J18" s="8"/>
      <c r="K18" s="8"/>
      <c r="L18" s="8"/>
      <c r="M18" s="8"/>
      <c r="N18" s="8"/>
      <c r="O18" s="8"/>
      <c r="P18" s="8"/>
      <c r="Q18" s="8"/>
      <c r="R18" s="8"/>
      <c r="S18" s="10"/>
    </row>
    <row r="19" spans="1:19" x14ac:dyDescent="0.25">
      <c r="A19" s="7"/>
      <c r="B19" s="8"/>
      <c r="C19" s="8"/>
      <c r="D19" s="8"/>
      <c r="E19" s="8"/>
      <c r="G19" s="8"/>
      <c r="H19" s="214"/>
      <c r="I19" s="8"/>
      <c r="J19" s="8"/>
      <c r="K19" s="8"/>
      <c r="L19" s="8"/>
      <c r="M19" s="8"/>
      <c r="N19" s="8"/>
      <c r="O19" s="8"/>
      <c r="P19" s="8"/>
      <c r="Q19" s="8"/>
      <c r="R19" s="8"/>
      <c r="S19" s="10"/>
    </row>
    <row r="20" spans="1:19" ht="23.25" x14ac:dyDescent="0.25">
      <c r="A20" s="7"/>
      <c r="B20" s="8"/>
      <c r="C20" s="8"/>
      <c r="D20" s="8"/>
      <c r="E20" s="8"/>
      <c r="G20" s="8"/>
      <c r="H20" s="261" t="s">
        <v>7</v>
      </c>
      <c r="I20" s="11"/>
      <c r="J20" s="11"/>
      <c r="K20" s="11"/>
      <c r="L20" s="8"/>
      <c r="M20" s="8"/>
      <c r="N20" s="8"/>
      <c r="O20" s="8"/>
      <c r="P20" s="8"/>
      <c r="Q20" s="8"/>
      <c r="R20" s="8"/>
      <c r="S20" s="10"/>
    </row>
    <row r="21" spans="1:19" x14ac:dyDescent="0.25">
      <c r="A21" s="7"/>
      <c r="B21" s="8"/>
      <c r="C21" s="8"/>
      <c r="D21" s="8"/>
      <c r="E21" s="8"/>
      <c r="G21" s="8"/>
      <c r="H21" s="214"/>
      <c r="I21" s="8"/>
      <c r="J21" s="8"/>
      <c r="K21" s="8"/>
      <c r="L21" s="8"/>
      <c r="M21" s="8"/>
      <c r="N21" s="8"/>
      <c r="O21" s="8"/>
      <c r="P21" s="8"/>
      <c r="Q21" s="8"/>
      <c r="R21" s="8"/>
      <c r="S21" s="10"/>
    </row>
    <row r="22" spans="1:19" x14ac:dyDescent="0.25">
      <c r="A22" s="7"/>
      <c r="B22" s="8"/>
      <c r="C22" s="8"/>
      <c r="D22" s="8"/>
      <c r="E22" s="8"/>
      <c r="G22" s="8"/>
      <c r="H22" s="214"/>
      <c r="I22" s="8"/>
      <c r="J22" s="8"/>
      <c r="K22" s="8"/>
      <c r="L22" s="8"/>
      <c r="M22" s="8"/>
      <c r="N22" s="8"/>
      <c r="O22" s="8"/>
      <c r="P22" s="8"/>
      <c r="Q22" s="8"/>
      <c r="R22" s="8"/>
      <c r="S22" s="10"/>
    </row>
    <row r="23" spans="1:19" ht="20.25" x14ac:dyDescent="0.3">
      <c r="A23" s="7"/>
      <c r="B23" s="8"/>
      <c r="C23" s="8"/>
      <c r="D23" s="8"/>
      <c r="E23" s="8"/>
      <c r="G23" s="8"/>
      <c r="H23" s="216" t="s">
        <v>8</v>
      </c>
      <c r="I23" s="8"/>
      <c r="J23" s="8"/>
      <c r="K23" s="8"/>
      <c r="L23" s="8"/>
      <c r="M23" s="8"/>
      <c r="N23" s="8"/>
      <c r="O23" s="8"/>
      <c r="P23" s="8"/>
      <c r="Q23" s="8"/>
      <c r="R23" s="8"/>
      <c r="S23" s="10"/>
    </row>
    <row r="24" spans="1:19" ht="18" x14ac:dyDescent="0.25">
      <c r="A24" s="7"/>
      <c r="B24" s="8"/>
      <c r="C24" s="8"/>
      <c r="D24" s="8"/>
      <c r="E24" s="8"/>
      <c r="G24" s="8"/>
      <c r="H24" s="224" t="s">
        <v>9</v>
      </c>
      <c r="I24" s="11"/>
      <c r="J24" s="11"/>
      <c r="K24" s="11"/>
      <c r="L24" s="11"/>
      <c r="M24" s="11"/>
      <c r="N24" s="11"/>
      <c r="O24" s="11"/>
      <c r="P24" s="11"/>
      <c r="Q24" s="11"/>
      <c r="R24" s="11"/>
      <c r="S24" s="222"/>
    </row>
    <row r="25" spans="1:19" x14ac:dyDescent="0.25">
      <c r="A25" s="7"/>
      <c r="B25" s="8"/>
      <c r="C25" s="8"/>
      <c r="D25" s="8"/>
      <c r="E25" s="8"/>
      <c r="G25" s="8"/>
      <c r="H25" s="223"/>
      <c r="I25" s="11"/>
      <c r="J25" s="11"/>
      <c r="K25" s="11"/>
      <c r="L25" s="11"/>
      <c r="M25" s="11"/>
      <c r="N25" s="11"/>
      <c r="O25" s="11"/>
      <c r="P25" s="11"/>
      <c r="Q25" s="11"/>
      <c r="R25" s="11"/>
      <c r="S25" s="222"/>
    </row>
    <row r="26" spans="1:19" ht="18" x14ac:dyDescent="0.25">
      <c r="A26" s="7"/>
      <c r="B26" s="8"/>
      <c r="C26" s="8"/>
      <c r="D26" s="8"/>
      <c r="E26" s="8"/>
      <c r="G26" s="8"/>
      <c r="H26" s="215" t="s">
        <v>10</v>
      </c>
      <c r="I26" s="11"/>
      <c r="J26" s="11"/>
      <c r="K26" s="11"/>
      <c r="L26" s="11"/>
      <c r="M26" s="11"/>
      <c r="N26" s="11"/>
      <c r="O26" s="11"/>
      <c r="P26" s="11"/>
      <c r="Q26" s="11"/>
      <c r="R26" s="11"/>
      <c r="S26" s="222"/>
    </row>
    <row r="27" spans="1:19" x14ac:dyDescent="0.25">
      <c r="A27" s="12"/>
      <c r="B27" s="8"/>
      <c r="C27" s="8"/>
      <c r="D27" s="8"/>
      <c r="E27" s="8"/>
      <c r="G27" s="8"/>
      <c r="H27" s="8"/>
      <c r="I27" s="8"/>
      <c r="J27" s="8"/>
      <c r="K27" s="8"/>
      <c r="L27" s="8"/>
      <c r="M27" s="8"/>
      <c r="N27" s="8"/>
      <c r="O27" s="8"/>
      <c r="P27" s="8"/>
      <c r="Q27" s="8"/>
      <c r="R27" s="8"/>
      <c r="S27" s="10"/>
    </row>
    <row r="28" spans="1:19" x14ac:dyDescent="0.25">
      <c r="A28" s="13" t="s">
        <v>11</v>
      </c>
      <c r="B28" s="8"/>
      <c r="C28" s="8"/>
      <c r="D28" s="8"/>
      <c r="E28" s="8"/>
      <c r="F28" s="8"/>
      <c r="G28" s="8"/>
      <c r="H28" s="8"/>
      <c r="I28" s="8"/>
      <c r="J28" s="8"/>
      <c r="K28" s="8"/>
      <c r="L28" s="8"/>
      <c r="M28" s="8"/>
      <c r="N28" s="8"/>
      <c r="O28" s="8"/>
      <c r="P28" s="8"/>
      <c r="Q28" s="8"/>
      <c r="R28" s="8"/>
      <c r="S28" s="10"/>
    </row>
    <row r="29" spans="1:19" x14ac:dyDescent="0.25">
      <c r="A29" s="14"/>
      <c r="B29" s="15"/>
      <c r="C29" s="15"/>
      <c r="D29" s="15"/>
      <c r="E29" s="15"/>
      <c r="F29" s="15"/>
      <c r="G29" s="15"/>
      <c r="H29" s="15"/>
      <c r="I29" s="15"/>
      <c r="J29" s="15"/>
      <c r="K29" s="15"/>
      <c r="L29" s="15"/>
      <c r="M29" s="15"/>
      <c r="N29" s="15"/>
      <c r="O29" s="15"/>
      <c r="P29" s="15"/>
      <c r="Q29" s="15"/>
      <c r="R29" s="15"/>
      <c r="S29" s="16"/>
    </row>
    <row r="30" spans="1:19" ht="15.75" x14ac:dyDescent="0.25">
      <c r="A30" s="17" t="s">
        <v>12</v>
      </c>
      <c r="B30" s="8"/>
      <c r="C30" s="8"/>
      <c r="D30" s="8"/>
      <c r="E30" s="8"/>
      <c r="F30" s="8"/>
      <c r="G30" s="8"/>
      <c r="H30" s="8"/>
      <c r="I30" s="8"/>
      <c r="J30" s="8"/>
      <c r="K30" s="8"/>
      <c r="L30" s="8"/>
      <c r="M30" s="8"/>
      <c r="N30" s="8"/>
      <c r="O30" s="8"/>
      <c r="P30" s="8"/>
      <c r="Q30" s="8"/>
      <c r="R30" s="8"/>
      <c r="S30" s="10"/>
    </row>
    <row r="31" spans="1:19" ht="94.5" customHeight="1" x14ac:dyDescent="0.25">
      <c r="A31" s="293" t="s">
        <v>13</v>
      </c>
      <c r="B31" s="294"/>
      <c r="C31" s="294"/>
      <c r="D31" s="294"/>
      <c r="E31" s="294"/>
      <c r="F31" s="294"/>
      <c r="G31" s="294"/>
      <c r="H31" s="294"/>
      <c r="I31" s="294"/>
      <c r="J31" s="294"/>
      <c r="K31" s="294"/>
      <c r="L31" s="294"/>
      <c r="M31" s="294"/>
      <c r="N31" s="294"/>
      <c r="O31" s="294"/>
      <c r="P31" s="294"/>
      <c r="Q31" s="294"/>
      <c r="R31" s="294"/>
      <c r="S31" s="295"/>
    </row>
    <row r="32" spans="1:19" x14ac:dyDescent="0.25">
      <c r="A32" s="7"/>
      <c r="B32" s="8"/>
      <c r="C32" s="8"/>
      <c r="D32" s="8"/>
      <c r="E32" s="8"/>
      <c r="F32" s="8"/>
      <c r="G32" s="8"/>
      <c r="H32" s="8"/>
      <c r="I32" s="8"/>
      <c r="J32" s="8"/>
      <c r="K32" s="8"/>
      <c r="L32" s="8"/>
      <c r="M32" s="8"/>
      <c r="N32" s="8"/>
      <c r="O32" s="8"/>
      <c r="P32" s="8"/>
      <c r="Q32" s="8"/>
      <c r="R32" s="8"/>
      <c r="S32" s="10"/>
    </row>
    <row r="33" spans="1:19" x14ac:dyDescent="0.25">
      <c r="A33" s="18" t="s">
        <v>14</v>
      </c>
      <c r="B33" s="8"/>
      <c r="C33" s="8"/>
      <c r="D33" s="8"/>
      <c r="E33" s="8"/>
      <c r="F33" s="8"/>
      <c r="G33" s="8"/>
      <c r="H33" s="8"/>
      <c r="I33" s="8"/>
      <c r="J33" s="8"/>
      <c r="K33" s="8"/>
      <c r="L33" s="8"/>
      <c r="M33" s="8"/>
      <c r="N33" s="8"/>
      <c r="O33" s="8"/>
      <c r="P33" s="8"/>
      <c r="Q33" s="8"/>
      <c r="R33" s="8"/>
      <c r="S33" s="10"/>
    </row>
    <row r="34" spans="1:19" x14ac:dyDescent="0.25">
      <c r="A34" s="7"/>
      <c r="B34" s="8"/>
      <c r="C34" s="8"/>
      <c r="D34" s="8"/>
      <c r="E34" s="8"/>
      <c r="F34" s="8"/>
      <c r="G34" s="8"/>
      <c r="H34" s="8"/>
      <c r="I34" s="8"/>
      <c r="J34" s="8"/>
      <c r="K34" s="8"/>
      <c r="L34" s="8"/>
      <c r="M34" s="8"/>
      <c r="N34" s="8"/>
      <c r="O34" s="8"/>
      <c r="P34" s="8"/>
      <c r="Q34" s="8"/>
      <c r="R34" s="8"/>
      <c r="S34" s="10"/>
    </row>
    <row r="35" spans="1:19" ht="15.75" x14ac:dyDescent="0.25">
      <c r="A35" s="17" t="s">
        <v>15</v>
      </c>
      <c r="B35" s="8"/>
      <c r="C35" s="8"/>
      <c r="D35" s="8"/>
      <c r="E35" s="8"/>
      <c r="F35" s="8"/>
      <c r="G35" s="8"/>
      <c r="H35" s="8"/>
      <c r="I35" s="8"/>
      <c r="J35" s="8"/>
      <c r="K35" s="8"/>
      <c r="L35" s="8"/>
      <c r="M35" s="8"/>
      <c r="N35" s="8"/>
      <c r="O35" s="8"/>
      <c r="P35" s="8"/>
      <c r="Q35" s="8"/>
      <c r="R35" s="8"/>
      <c r="S35" s="10"/>
    </row>
    <row r="36" spans="1:19" ht="48" customHeight="1" x14ac:dyDescent="0.25">
      <c r="A36" s="293" t="s">
        <v>16</v>
      </c>
      <c r="B36" s="294"/>
      <c r="C36" s="294"/>
      <c r="D36" s="294"/>
      <c r="E36" s="294"/>
      <c r="F36" s="294"/>
      <c r="G36" s="294"/>
      <c r="H36" s="294"/>
      <c r="I36" s="294"/>
      <c r="J36" s="294"/>
      <c r="K36" s="294"/>
      <c r="L36" s="294"/>
      <c r="M36" s="294"/>
      <c r="N36" s="294"/>
      <c r="O36" s="294"/>
      <c r="P36" s="294"/>
      <c r="Q36" s="294"/>
      <c r="R36" s="294"/>
      <c r="S36" s="295"/>
    </row>
    <row r="37" spans="1:19" x14ac:dyDescent="0.25">
      <c r="A37" s="19"/>
      <c r="B37" s="20"/>
      <c r="C37" s="20"/>
      <c r="D37" s="20"/>
      <c r="E37" s="20"/>
      <c r="F37" s="20"/>
      <c r="G37" s="20"/>
      <c r="H37" s="20"/>
      <c r="I37" s="20"/>
      <c r="J37" s="20"/>
      <c r="K37" s="20"/>
      <c r="L37" s="20"/>
      <c r="M37" s="20"/>
      <c r="N37" s="20"/>
      <c r="O37" s="20"/>
      <c r="P37" s="20"/>
      <c r="Q37" s="20"/>
      <c r="R37" s="20"/>
      <c r="S37" s="21"/>
    </row>
  </sheetData>
  <mergeCells count="2">
    <mergeCell ref="A31:S31"/>
    <mergeCell ref="A36:S36"/>
  </mergeCells>
  <hyperlinks>
    <hyperlink ref="H24" r:id="rId1" xr:uid="{347C01B7-8279-49CD-9D38-308313A7CDBD}"/>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79B2B-F89F-45B2-8C04-BAC85BC5EDA9}">
  <sheetPr>
    <tabColor theme="5" tint="0.59999389629810485"/>
  </sheetPr>
  <dimension ref="A1:F71"/>
  <sheetViews>
    <sheetView workbookViewId="0">
      <selection activeCell="B9" sqref="B9"/>
    </sheetView>
  </sheetViews>
  <sheetFormatPr defaultRowHeight="15" x14ac:dyDescent="0.25"/>
  <cols>
    <col min="1" max="1" width="21.5703125" style="25" customWidth="1"/>
    <col min="2" max="2" width="20.5703125" style="25" customWidth="1"/>
    <col min="3" max="3" width="13.140625" style="25" customWidth="1"/>
  </cols>
  <sheetData>
    <row r="1" spans="1:3" x14ac:dyDescent="0.25">
      <c r="A1" s="59" t="s">
        <v>39</v>
      </c>
    </row>
    <row r="2" spans="1:3" x14ac:dyDescent="0.25">
      <c r="A2" s="28" t="s">
        <v>40</v>
      </c>
    </row>
    <row r="4" spans="1:3" ht="30" x14ac:dyDescent="0.25">
      <c r="A4" s="27" t="s">
        <v>165</v>
      </c>
      <c r="B4" s="43" t="s">
        <v>355</v>
      </c>
      <c r="C4" s="43"/>
    </row>
    <row r="5" spans="1:3" x14ac:dyDescent="0.25">
      <c r="A5" s="60" t="s">
        <v>167</v>
      </c>
      <c r="B5" s="26">
        <v>24.66</v>
      </c>
      <c r="C5" s="26"/>
    </row>
    <row r="6" spans="1:3" x14ac:dyDescent="0.25">
      <c r="A6" s="25" t="s">
        <v>168</v>
      </c>
      <c r="B6" s="26">
        <v>25.68</v>
      </c>
      <c r="C6" s="26"/>
    </row>
    <row r="7" spans="1:3" x14ac:dyDescent="0.25">
      <c r="A7" s="25" t="s">
        <v>169</v>
      </c>
      <c r="B7" s="26">
        <v>22.81</v>
      </c>
      <c r="C7" s="26"/>
    </row>
    <row r="8" spans="1:3" x14ac:dyDescent="0.25">
      <c r="A8" s="25" t="s">
        <v>170</v>
      </c>
      <c r="B8" s="26">
        <v>25.56</v>
      </c>
      <c r="C8" s="26"/>
    </row>
    <row r="9" spans="1:3" x14ac:dyDescent="0.25">
      <c r="A9" s="25" t="s">
        <v>171</v>
      </c>
      <c r="B9" s="26">
        <v>21.59</v>
      </c>
      <c r="C9" s="26"/>
    </row>
    <row r="10" spans="1:3" x14ac:dyDescent="0.25">
      <c r="A10" s="25" t="s">
        <v>172</v>
      </c>
      <c r="B10" s="26">
        <v>25.86</v>
      </c>
      <c r="C10" s="26"/>
    </row>
    <row r="11" spans="1:3" x14ac:dyDescent="0.25">
      <c r="A11" s="25" t="s">
        <v>173</v>
      </c>
      <c r="B11" s="26">
        <v>19.39</v>
      </c>
      <c r="C11" s="26"/>
    </row>
    <row r="12" spans="1:3" x14ac:dyDescent="0.25">
      <c r="A12" s="60" t="s">
        <v>174</v>
      </c>
      <c r="B12" s="26">
        <v>18.07</v>
      </c>
      <c r="C12" s="26"/>
    </row>
    <row r="13" spans="1:3" x14ac:dyDescent="0.25">
      <c r="A13" s="25" t="s">
        <v>175</v>
      </c>
      <c r="B13" s="26">
        <v>18.84</v>
      </c>
      <c r="C13" s="26"/>
    </row>
    <row r="14" spans="1:3" x14ac:dyDescent="0.25">
      <c r="A14" s="25" t="s">
        <v>176</v>
      </c>
      <c r="B14" s="26">
        <v>21.62</v>
      </c>
      <c r="C14" s="26"/>
    </row>
    <row r="15" spans="1:3" x14ac:dyDescent="0.25">
      <c r="A15" s="25" t="s">
        <v>177</v>
      </c>
      <c r="B15" s="26">
        <v>14.11</v>
      </c>
      <c r="C15" s="26"/>
    </row>
    <row r="16" spans="1:3" x14ac:dyDescent="0.25">
      <c r="A16" s="60" t="s">
        <v>178</v>
      </c>
      <c r="B16" s="26">
        <v>13.28</v>
      </c>
      <c r="C16" s="26"/>
    </row>
    <row r="17" spans="1:6" x14ac:dyDescent="0.25">
      <c r="A17" s="25" t="s">
        <v>179</v>
      </c>
      <c r="B17" s="26">
        <v>13.74</v>
      </c>
      <c r="C17" s="26"/>
    </row>
    <row r="18" spans="1:6" x14ac:dyDescent="0.25">
      <c r="A18" s="25" t="s">
        <v>180</v>
      </c>
      <c r="B18" s="26">
        <v>12.57</v>
      </c>
      <c r="C18" s="26"/>
    </row>
    <row r="19" spans="1:6" x14ac:dyDescent="0.25">
      <c r="A19" s="25" t="s">
        <v>181</v>
      </c>
      <c r="B19" s="26">
        <v>14.73</v>
      </c>
      <c r="C19" s="26"/>
    </row>
    <row r="20" spans="1:6" x14ac:dyDescent="0.25">
      <c r="A20" s="25" t="s">
        <v>182</v>
      </c>
      <c r="B20" s="26">
        <v>12.43</v>
      </c>
      <c r="D20" s="45"/>
      <c r="E20" s="47"/>
      <c r="F20" s="47"/>
    </row>
    <row r="21" spans="1:6" x14ac:dyDescent="0.25">
      <c r="A21" s="25" t="s">
        <v>185</v>
      </c>
      <c r="B21" s="26">
        <v>13.35</v>
      </c>
    </row>
    <row r="22" spans="1:6" x14ac:dyDescent="0.25">
      <c r="A22" s="60" t="s">
        <v>188</v>
      </c>
      <c r="B22" s="26">
        <v>10.91</v>
      </c>
    </row>
    <row r="23" spans="1:6" x14ac:dyDescent="0.25">
      <c r="A23" s="25" t="s">
        <v>191</v>
      </c>
      <c r="B23" s="26">
        <v>9.76</v>
      </c>
    </row>
    <row r="24" spans="1:6" x14ac:dyDescent="0.25">
      <c r="A24" s="25" t="s">
        <v>193</v>
      </c>
      <c r="B24" s="26">
        <v>11.52</v>
      </c>
    </row>
    <row r="25" spans="1:6" x14ac:dyDescent="0.25">
      <c r="A25" s="25" t="s">
        <v>195</v>
      </c>
      <c r="B25" s="26">
        <v>12.67</v>
      </c>
    </row>
    <row r="26" spans="1:6" x14ac:dyDescent="0.25">
      <c r="A26" s="25" t="s">
        <v>196</v>
      </c>
      <c r="B26" s="26">
        <v>11.57</v>
      </c>
    </row>
    <row r="27" spans="1:6" x14ac:dyDescent="0.25">
      <c r="A27" s="25" t="s">
        <v>199</v>
      </c>
      <c r="B27" s="26">
        <v>9.5500000000000007</v>
      </c>
    </row>
    <row r="28" spans="1:6" x14ac:dyDescent="0.25">
      <c r="A28" s="25" t="s">
        <v>201</v>
      </c>
      <c r="B28" s="26">
        <v>8.1999999999999993</v>
      </c>
    </row>
    <row r="29" spans="1:6" x14ac:dyDescent="0.25">
      <c r="A29" s="25" t="s">
        <v>203</v>
      </c>
      <c r="B29" s="26">
        <v>11.35</v>
      </c>
    </row>
    <row r="30" spans="1:6" x14ac:dyDescent="0.25">
      <c r="A30" s="60" t="s">
        <v>204</v>
      </c>
      <c r="B30" s="26">
        <v>12.59</v>
      </c>
    </row>
    <row r="31" spans="1:6" x14ac:dyDescent="0.25">
      <c r="A31" s="25" t="s">
        <v>207</v>
      </c>
      <c r="B31" s="26">
        <v>14.19</v>
      </c>
    </row>
    <row r="32" spans="1:6" x14ac:dyDescent="0.25">
      <c r="A32" s="25" t="s">
        <v>208</v>
      </c>
      <c r="B32" s="26">
        <v>20.34</v>
      </c>
    </row>
    <row r="33" spans="1:2" x14ac:dyDescent="0.25">
      <c r="A33" s="25" t="s">
        <v>209</v>
      </c>
      <c r="B33" s="26">
        <v>13.34</v>
      </c>
    </row>
    <row r="34" spans="1:2" x14ac:dyDescent="0.25">
      <c r="A34" s="25" t="s">
        <v>210</v>
      </c>
      <c r="B34" s="26">
        <v>12.03</v>
      </c>
    </row>
    <row r="35" spans="1:2" x14ac:dyDescent="0.25">
      <c r="A35" s="25" t="s">
        <v>211</v>
      </c>
      <c r="B35" s="26">
        <v>16.829999999999998</v>
      </c>
    </row>
    <row r="36" spans="1:2" x14ac:dyDescent="0.25">
      <c r="A36" s="25" t="s">
        <v>212</v>
      </c>
      <c r="B36" s="26">
        <v>11.53</v>
      </c>
    </row>
    <row r="37" spans="1:2" x14ac:dyDescent="0.25">
      <c r="A37" s="25" t="s">
        <v>213</v>
      </c>
      <c r="B37" s="26">
        <v>11.45</v>
      </c>
    </row>
    <row r="38" spans="1:2" x14ac:dyDescent="0.25">
      <c r="A38" s="25" t="s">
        <v>214</v>
      </c>
      <c r="B38" s="26">
        <v>11.41</v>
      </c>
    </row>
    <row r="39" spans="1:2" x14ac:dyDescent="0.25">
      <c r="A39" s="25" t="s">
        <v>215</v>
      </c>
      <c r="B39" s="26">
        <v>11.4</v>
      </c>
    </row>
    <row r="40" spans="1:2" x14ac:dyDescent="0.25">
      <c r="A40" s="60" t="s">
        <v>216</v>
      </c>
      <c r="B40" s="26">
        <v>11.62</v>
      </c>
    </row>
    <row r="41" spans="1:2" x14ac:dyDescent="0.25">
      <c r="A41" s="25" t="s">
        <v>217</v>
      </c>
      <c r="B41" s="26">
        <v>12.62</v>
      </c>
    </row>
    <row r="42" spans="1:2" x14ac:dyDescent="0.25">
      <c r="A42" s="25" t="s">
        <v>218</v>
      </c>
      <c r="B42" s="26">
        <v>10.55</v>
      </c>
    </row>
    <row r="43" spans="1:2" x14ac:dyDescent="0.25">
      <c r="A43" s="25" t="s">
        <v>219</v>
      </c>
      <c r="B43" s="26">
        <v>11.57</v>
      </c>
    </row>
    <row r="44" spans="1:2" x14ac:dyDescent="0.25">
      <c r="A44" s="25" t="s">
        <v>220</v>
      </c>
      <c r="B44" s="26">
        <v>11.57</v>
      </c>
    </row>
    <row r="45" spans="1:2" x14ac:dyDescent="0.25">
      <c r="A45" s="60" t="s">
        <v>221</v>
      </c>
      <c r="B45" s="26">
        <v>10</v>
      </c>
    </row>
    <row r="46" spans="1:2" x14ac:dyDescent="0.25">
      <c r="A46" s="25" t="s">
        <v>222</v>
      </c>
      <c r="B46" s="26">
        <v>9.84</v>
      </c>
    </row>
    <row r="47" spans="1:2" x14ac:dyDescent="0.25">
      <c r="A47" s="25" t="s">
        <v>223</v>
      </c>
      <c r="B47" s="26">
        <v>9.5</v>
      </c>
    </row>
    <row r="48" spans="1:2" x14ac:dyDescent="0.25">
      <c r="A48" s="25" t="s">
        <v>224</v>
      </c>
      <c r="B48" s="26">
        <v>9.5</v>
      </c>
    </row>
    <row r="49" spans="1:2" x14ac:dyDescent="0.25">
      <c r="A49" s="25" t="s">
        <v>225</v>
      </c>
      <c r="B49" s="26">
        <v>10.18</v>
      </c>
    </row>
    <row r="50" spans="1:2" x14ac:dyDescent="0.25">
      <c r="A50" s="60" t="s">
        <v>226</v>
      </c>
      <c r="B50" s="26">
        <v>11.44</v>
      </c>
    </row>
    <row r="51" spans="1:2" x14ac:dyDescent="0.25">
      <c r="A51" s="25" t="s">
        <v>227</v>
      </c>
      <c r="B51" s="26">
        <v>12.97</v>
      </c>
    </row>
    <row r="52" spans="1:2" x14ac:dyDescent="0.25">
      <c r="A52" s="25" t="s">
        <v>228</v>
      </c>
      <c r="B52" s="26">
        <v>12.77</v>
      </c>
    </row>
    <row r="53" spans="1:2" x14ac:dyDescent="0.25">
      <c r="A53" s="25" t="s">
        <v>229</v>
      </c>
      <c r="B53" s="26">
        <v>9.74</v>
      </c>
    </row>
    <row r="54" spans="1:2" x14ac:dyDescent="0.25">
      <c r="A54" s="25" t="s">
        <v>230</v>
      </c>
      <c r="B54" s="26">
        <v>10.9</v>
      </c>
    </row>
    <row r="55" spans="1:2" x14ac:dyDescent="0.25">
      <c r="A55" s="25" t="s">
        <v>231</v>
      </c>
      <c r="B55" s="26">
        <v>10.31</v>
      </c>
    </row>
    <row r="56" spans="1:2" x14ac:dyDescent="0.25">
      <c r="A56" s="25" t="s">
        <v>232</v>
      </c>
      <c r="B56" s="26">
        <v>9.56</v>
      </c>
    </row>
    <row r="57" spans="1:2" x14ac:dyDescent="0.25">
      <c r="A57" s="25" t="s">
        <v>233</v>
      </c>
      <c r="B57" s="26">
        <v>10.67</v>
      </c>
    </row>
    <row r="58" spans="1:2" x14ac:dyDescent="0.25">
      <c r="A58" s="25" t="s">
        <v>234</v>
      </c>
      <c r="B58" s="26">
        <v>9.75</v>
      </c>
    </row>
    <row r="59" spans="1:2" x14ac:dyDescent="0.25">
      <c r="A59" s="60" t="s">
        <v>235</v>
      </c>
      <c r="B59" s="26">
        <v>21.22</v>
      </c>
    </row>
    <row r="60" spans="1:2" x14ac:dyDescent="0.25">
      <c r="A60" s="25" t="s">
        <v>236</v>
      </c>
      <c r="B60" s="26">
        <v>27.63</v>
      </c>
    </row>
    <row r="61" spans="1:2" x14ac:dyDescent="0.25">
      <c r="A61" s="25" t="s">
        <v>237</v>
      </c>
      <c r="B61" s="26">
        <v>11.51</v>
      </c>
    </row>
    <row r="62" spans="1:2" x14ac:dyDescent="0.25">
      <c r="A62" s="25" t="s">
        <v>238</v>
      </c>
      <c r="B62" s="26">
        <v>11.06</v>
      </c>
    </row>
    <row r="63" spans="1:2" x14ac:dyDescent="0.25">
      <c r="A63" s="60" t="s">
        <v>239</v>
      </c>
      <c r="B63" s="26">
        <v>30.64</v>
      </c>
    </row>
    <row r="64" spans="1:2" x14ac:dyDescent="0.25">
      <c r="A64" s="25" t="s">
        <v>240</v>
      </c>
      <c r="B64" s="26">
        <v>23.05</v>
      </c>
    </row>
    <row r="65" spans="1:2" x14ac:dyDescent="0.25">
      <c r="A65" s="25" t="s">
        <v>241</v>
      </c>
      <c r="B65" s="26">
        <v>35.72</v>
      </c>
    </row>
    <row r="66" spans="1:2" x14ac:dyDescent="0.25">
      <c r="A66" s="60" t="s">
        <v>242</v>
      </c>
      <c r="B66" s="26">
        <v>13.63</v>
      </c>
    </row>
    <row r="69" spans="1:2" x14ac:dyDescent="0.25">
      <c r="A69" t="s">
        <v>197</v>
      </c>
      <c r="B69" s="28" t="s">
        <v>356</v>
      </c>
    </row>
    <row r="70" spans="1:2" x14ac:dyDescent="0.25">
      <c r="A70"/>
    </row>
    <row r="71" spans="1:2" x14ac:dyDescent="0.25">
      <c r="A71" t="s">
        <v>205</v>
      </c>
      <c r="B71" s="28" t="s">
        <v>357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4B8C8-1EA3-484B-873C-50E2E7B71270}">
  <sheetPr>
    <tabColor theme="5" tint="0.59999389629810485"/>
  </sheetPr>
  <dimension ref="A1:P76"/>
  <sheetViews>
    <sheetView workbookViewId="0">
      <selection activeCell="H68" sqref="H68"/>
    </sheetView>
  </sheetViews>
  <sheetFormatPr defaultRowHeight="15" x14ac:dyDescent="0.25"/>
  <cols>
    <col min="1" max="1" width="23.5703125" style="25" customWidth="1"/>
    <col min="2" max="4" width="25.42578125" style="25" customWidth="1"/>
    <col min="5" max="5" width="6.140625" style="25" customWidth="1"/>
    <col min="6" max="8" width="25.42578125" customWidth="1"/>
    <col min="9" max="9" width="5.42578125" customWidth="1"/>
    <col min="10" max="10" width="21.42578125" customWidth="1"/>
    <col min="11" max="12" width="22.5703125" customWidth="1"/>
    <col min="13" max="13" width="24.42578125" customWidth="1"/>
  </cols>
  <sheetData>
    <row r="1" spans="1:16" x14ac:dyDescent="0.25">
      <c r="A1" s="59" t="s">
        <v>41</v>
      </c>
      <c r="B1" s="59"/>
      <c r="C1" s="59"/>
    </row>
    <row r="2" spans="1:16" x14ac:dyDescent="0.25">
      <c r="A2" s="28" t="s">
        <v>42</v>
      </c>
      <c r="B2" s="28"/>
      <c r="C2" s="28"/>
      <c r="F2" s="31"/>
    </row>
    <row r="3" spans="1:16" x14ac:dyDescent="0.25">
      <c r="D3" s="76"/>
      <c r="E3" s="76"/>
      <c r="F3" s="26"/>
    </row>
    <row r="4" spans="1:16" ht="33.75" customHeight="1" x14ac:dyDescent="0.25">
      <c r="A4" s="43" t="s">
        <v>165</v>
      </c>
      <c r="B4" s="43" t="s">
        <v>358</v>
      </c>
      <c r="C4" s="43" t="s">
        <v>359</v>
      </c>
      <c r="D4" s="43" t="s">
        <v>360</v>
      </c>
      <c r="E4" s="43"/>
      <c r="F4" s="43" t="s">
        <v>361</v>
      </c>
      <c r="G4" s="43" t="s">
        <v>362</v>
      </c>
      <c r="H4" s="43" t="s">
        <v>363</v>
      </c>
      <c r="I4" s="43"/>
      <c r="J4" s="43" t="s">
        <v>165</v>
      </c>
      <c r="K4" s="43" t="s">
        <v>364</v>
      </c>
      <c r="L4" s="43" t="s">
        <v>365</v>
      </c>
      <c r="M4" s="43" t="s">
        <v>366</v>
      </c>
      <c r="N4" s="54"/>
      <c r="O4" s="54"/>
      <c r="P4" s="54"/>
    </row>
    <row r="5" spans="1:16" ht="16.5" customHeight="1" x14ac:dyDescent="0.25">
      <c r="A5" s="60" t="s">
        <v>167</v>
      </c>
      <c r="B5" s="44">
        <v>17.760000000000002</v>
      </c>
      <c r="C5" s="44">
        <v>23.03</v>
      </c>
      <c r="D5" s="26">
        <v>24.66</v>
      </c>
      <c r="F5" s="61">
        <f>$B5 * VLOOKUP(2025, tblCPI[], MATCH(INDEX(tblCPI_Map[CPI Region], MATCH($A5, tblCPI_Map[Census Division and State], 0)), tblCPI[[#Headers],[West]:[National]], 0)+1, FALSE) /VLOOKUP(2019, tblCPI[], MATCH(INDEX(tblCPI_Map[CPI Region], MATCH($A5, tblCPI_Map[Census Division and State], 0)), tblCPI[[#Headers],[West]:[National]], 0)+1, FALSE)</f>
        <v>22.060104531686171</v>
      </c>
      <c r="G5" s="61">
        <f>$C5 * VLOOKUP(2025, tblCPI[], MATCH(INDEX(tblCPI_Map[CPI Region], MATCH($A5, tblCPI_Map[Census Division and State], 0)), tblCPI[[#Headers],[West]:[National]], 0)+1, FALSE) /VLOOKUP(2024, tblCPI[], MATCH(INDEX(tblCPI_Map[CPI Region], MATCH($A5, tblCPI_Map[Census Division and State], 0)), tblCPI[[#Headers],[West]:[National]], 0)+1, FALSE)</f>
        <v>23.755622092682732</v>
      </c>
      <c r="H5" s="26">
        <f>D5</f>
        <v>24.66</v>
      </c>
      <c r="J5" s="60" t="s">
        <v>167</v>
      </c>
      <c r="K5" s="26">
        <f>H5-F5</f>
        <v>2.5998954683138287</v>
      </c>
      <c r="L5" s="26">
        <f>H5-G5</f>
        <v>0.90437790731726864</v>
      </c>
      <c r="M5" s="26">
        <f>G5-F5</f>
        <v>1.69551756099656</v>
      </c>
      <c r="O5" s="26"/>
      <c r="P5" s="26"/>
    </row>
    <row r="6" spans="1:16" x14ac:dyDescent="0.25">
      <c r="A6" s="25" t="s">
        <v>168</v>
      </c>
      <c r="B6" s="44">
        <v>18.66</v>
      </c>
      <c r="C6" s="44">
        <v>24.37</v>
      </c>
      <c r="D6" s="26">
        <v>25.68</v>
      </c>
      <c r="E6" s="26"/>
      <c r="F6" s="61">
        <f>$B6 * VLOOKUP(2025, tblCPI[], MATCH(INDEX(tblCPI_Map[CPI Region], MATCH($A6, tblCPI_Map[Census Division and State], 0)), tblCPI[[#Headers],[West]:[National]], 0)+1, FALSE) /VLOOKUP(2019, tblCPI[], MATCH(INDEX(tblCPI_Map[CPI Region], MATCH($A6, tblCPI_Map[Census Division and State], 0)), tblCPI[[#Headers],[West]:[National]], 0)+1, FALSE)</f>
        <v>23.178015234305398</v>
      </c>
      <c r="G6" s="61">
        <f>$C6 * VLOOKUP(2025, tblCPI[], MATCH(INDEX(tblCPI_Map[CPI Region], MATCH($A6, tblCPI_Map[Census Division and State], 0)), tblCPI[[#Headers],[West]:[National]], 0)+1, FALSE) /VLOOKUP(2024, tblCPI[], MATCH(INDEX(tblCPI_Map[CPI Region], MATCH($A6, tblCPI_Map[Census Division and State], 0)), tblCPI[[#Headers],[West]:[National]], 0)+1, FALSE)</f>
        <v>25.137842396816247</v>
      </c>
      <c r="H6" s="26">
        <f t="shared" ref="H6:H66" si="0">D6</f>
        <v>25.68</v>
      </c>
      <c r="J6" s="25" t="s">
        <v>168</v>
      </c>
      <c r="K6" s="26">
        <f>H6-F6</f>
        <v>2.5019847656946013</v>
      </c>
      <c r="L6" s="26">
        <f>H6-G6</f>
        <v>0.54215760318375317</v>
      </c>
      <c r="M6" s="26">
        <f>G6-F6</f>
        <v>1.9598271625108481</v>
      </c>
      <c r="O6" s="26"/>
    </row>
    <row r="7" spans="1:16" x14ac:dyDescent="0.25">
      <c r="A7" s="25" t="s">
        <v>169</v>
      </c>
      <c r="B7" s="44">
        <v>14.04</v>
      </c>
      <c r="C7" s="44">
        <v>19.66</v>
      </c>
      <c r="D7" s="26">
        <v>22.81</v>
      </c>
      <c r="E7" s="26"/>
      <c r="F7" s="61">
        <f>$B7 * VLOOKUP(2025, tblCPI[], MATCH(INDEX(tblCPI_Map[CPI Region], MATCH($A7, tblCPI_Map[Census Division and State], 0)), tblCPI[[#Headers],[West]:[National]], 0)+1, FALSE) /VLOOKUP(2019, tblCPI[], MATCH(INDEX(tblCPI_Map[CPI Region], MATCH($A7, tblCPI_Map[Census Division and State], 0)), tblCPI[[#Headers],[West]:[National]], 0)+1, FALSE)</f>
        <v>17.439406960860012</v>
      </c>
      <c r="G7" s="61">
        <f>$C7 * VLOOKUP(2025, tblCPI[], MATCH(INDEX(tblCPI_Map[CPI Region], MATCH($A7, tblCPI_Map[Census Division and State], 0)), tblCPI[[#Headers],[West]:[National]], 0)+1, FALSE) /VLOOKUP(2024, tblCPI[], MATCH(INDEX(tblCPI_Map[CPI Region], MATCH($A7, tblCPI_Map[Census Division and State], 0)), tblCPI[[#Headers],[West]:[National]], 0)+1, FALSE)</f>
        <v>20.279441178555903</v>
      </c>
      <c r="H7" s="26">
        <f t="shared" si="0"/>
        <v>22.81</v>
      </c>
      <c r="J7" s="25" t="s">
        <v>169</v>
      </c>
      <c r="K7" s="26">
        <f>H7-F7</f>
        <v>5.3705930391399868</v>
      </c>
      <c r="L7" s="26">
        <f t="shared" ref="L7:L66" si="1">H7-G7</f>
        <v>2.5305588214440959</v>
      </c>
      <c r="M7" s="26">
        <f t="shared" ref="M7:M66" si="2">G7-F7</f>
        <v>2.8400342176958908</v>
      </c>
      <c r="O7" s="26"/>
    </row>
    <row r="8" spans="1:16" x14ac:dyDescent="0.25">
      <c r="A8" s="25" t="s">
        <v>170</v>
      </c>
      <c r="B8" s="44">
        <v>18.399999999999999</v>
      </c>
      <c r="C8" s="44">
        <v>23.94</v>
      </c>
      <c r="D8" s="26">
        <v>25.56</v>
      </c>
      <c r="E8" s="26"/>
      <c r="F8" s="61">
        <f>$B8 * VLOOKUP(2025, tblCPI[], MATCH(INDEX(tblCPI_Map[CPI Region], MATCH($A8, tblCPI_Map[Census Division and State], 0)), tblCPI[[#Headers],[West]:[National]], 0)+1, FALSE) /VLOOKUP(2019, tblCPI[], MATCH(INDEX(tblCPI_Map[CPI Region], MATCH($A8, tblCPI_Map[Census Division and State], 0)), tblCPI[[#Headers],[West]:[National]], 0)+1, FALSE)</f>
        <v>22.855063253548728</v>
      </c>
      <c r="G8" s="61">
        <f>$C8 * VLOOKUP(2025, tblCPI[], MATCH(INDEX(tblCPI_Map[CPI Region], MATCH($A8, tblCPI_Map[Census Division and State], 0)), tblCPI[[#Headers],[West]:[National]], 0)+1, FALSE) /VLOOKUP(2024, tblCPI[], MATCH(INDEX(tblCPI_Map[CPI Region], MATCH($A8, tblCPI_Map[Census Division and State], 0)), tblCPI[[#Headers],[West]:[National]], 0)+1, FALSE)</f>
        <v>24.694294090265942</v>
      </c>
      <c r="H8" s="26">
        <f t="shared" si="0"/>
        <v>25.56</v>
      </c>
      <c r="J8" s="25" t="s">
        <v>170</v>
      </c>
      <c r="K8" s="26">
        <f t="shared" ref="K8:K66" si="3">H8-F8</f>
        <v>2.7049367464512706</v>
      </c>
      <c r="L8" s="26">
        <f t="shared" si="1"/>
        <v>0.86570590973405714</v>
      </c>
      <c r="M8" s="26">
        <f t="shared" si="2"/>
        <v>1.8392308367172134</v>
      </c>
      <c r="O8" s="26"/>
    </row>
    <row r="9" spans="1:16" x14ac:dyDescent="0.25">
      <c r="A9" s="25" t="s">
        <v>171</v>
      </c>
      <c r="B9" s="44">
        <v>17.149999999999999</v>
      </c>
      <c r="C9" s="44">
        <v>20.6</v>
      </c>
      <c r="D9" s="26">
        <v>21.59</v>
      </c>
      <c r="E9" s="26"/>
      <c r="F9" s="61">
        <f>$B9 * VLOOKUP(2025, tblCPI[], MATCH(INDEX(tblCPI_Map[CPI Region], MATCH($A9, tblCPI_Map[Census Division and State], 0)), tblCPI[[#Headers],[West]:[National]], 0)+1, FALSE) /VLOOKUP(2019, tblCPI[], MATCH(INDEX(tblCPI_Map[CPI Region], MATCH($A9, tblCPI_Map[Census Division and State], 0)), tblCPI[[#Headers],[West]:[National]], 0)+1, FALSE)</f>
        <v>21.302409499910908</v>
      </c>
      <c r="G9" s="61">
        <f>$C9 * VLOOKUP(2025, tblCPI[], MATCH(INDEX(tblCPI_Map[CPI Region], MATCH($A9, tblCPI_Map[Census Division and State], 0)), tblCPI[[#Headers],[West]:[National]], 0)+1, FALSE) /VLOOKUP(2024, tblCPI[], MATCH(INDEX(tblCPI_Map[CPI Region], MATCH($A9, tblCPI_Map[Census Division and State], 0)), tblCPI[[#Headers],[West]:[National]], 0)+1, FALSE)</f>
        <v>21.249058406828674</v>
      </c>
      <c r="H9" s="26">
        <f t="shared" si="0"/>
        <v>21.59</v>
      </c>
      <c r="J9" s="25" t="s">
        <v>171</v>
      </c>
      <c r="K9" s="26">
        <f t="shared" si="3"/>
        <v>0.28759050008909171</v>
      </c>
      <c r="L9" s="26">
        <f t="shared" si="1"/>
        <v>0.34094159317132622</v>
      </c>
      <c r="M9" s="26">
        <f t="shared" si="2"/>
        <v>-5.3351093082234513E-2</v>
      </c>
      <c r="O9" s="26"/>
    </row>
    <row r="10" spans="1:16" x14ac:dyDescent="0.25">
      <c r="A10" s="25" t="s">
        <v>172</v>
      </c>
      <c r="B10" s="44">
        <v>18.489999999999998</v>
      </c>
      <c r="C10" s="44">
        <v>24.15</v>
      </c>
      <c r="D10" s="26">
        <v>25.86</v>
      </c>
      <c r="E10" s="26"/>
      <c r="F10" s="61">
        <f>$B10 * VLOOKUP(2025, tblCPI[], MATCH(INDEX(tblCPI_Map[CPI Region], MATCH($A10, tblCPI_Map[Census Division and State], 0)), tblCPI[[#Headers],[West]:[National]], 0)+1, FALSE) /VLOOKUP(2019, tblCPI[], MATCH(INDEX(tblCPI_Map[CPI Region], MATCH($A10, tblCPI_Map[Census Division and State], 0)), tblCPI[[#Headers],[West]:[National]], 0)+1, FALSE)</f>
        <v>22.966854323810654</v>
      </c>
      <c r="G10" s="61">
        <f>$C10 * VLOOKUP(2025, tblCPI[], MATCH(INDEX(tblCPI_Map[CPI Region], MATCH($A10, tblCPI_Map[Census Division and State], 0)), tblCPI[[#Headers],[West]:[National]], 0)+1, FALSE) /VLOOKUP(2024, tblCPI[], MATCH(INDEX(tblCPI_Map[CPI Region], MATCH($A10, tblCPI_Map[Census Division and State], 0)), tblCPI[[#Headers],[West]:[National]], 0)+1, FALSE)</f>
        <v>24.910910705092832</v>
      </c>
      <c r="H10" s="26">
        <f t="shared" si="0"/>
        <v>25.86</v>
      </c>
      <c r="J10" s="25" t="s">
        <v>172</v>
      </c>
      <c r="K10" s="26">
        <f t="shared" si="3"/>
        <v>2.893145676189345</v>
      </c>
      <c r="L10" s="26">
        <f t="shared" si="1"/>
        <v>0.94908929490716787</v>
      </c>
      <c r="M10" s="26">
        <f t="shared" si="2"/>
        <v>1.9440563812821772</v>
      </c>
      <c r="O10" s="26"/>
    </row>
    <row r="11" spans="1:16" x14ac:dyDescent="0.25">
      <c r="A11" s="25" t="s">
        <v>173</v>
      </c>
      <c r="B11" s="44">
        <v>15.36</v>
      </c>
      <c r="C11" s="44">
        <v>18.41</v>
      </c>
      <c r="D11" s="26">
        <v>19.39</v>
      </c>
      <c r="E11" s="26"/>
      <c r="F11" s="61">
        <f>$B11 * VLOOKUP(2025, tblCPI[], MATCH(INDEX(tblCPI_Map[CPI Region], MATCH($A11, tblCPI_Map[Census Division and State], 0)), tblCPI[[#Headers],[West]:[National]], 0)+1, FALSE) /VLOOKUP(2019, tblCPI[], MATCH(INDEX(tblCPI_Map[CPI Region], MATCH($A11, tblCPI_Map[Census Division and State], 0)), tblCPI[[#Headers],[West]:[National]], 0)+1, FALSE)</f>
        <v>19.079009324701548</v>
      </c>
      <c r="G11" s="61">
        <f>$C11 * VLOOKUP(2025, tblCPI[], MATCH(INDEX(tblCPI_Map[CPI Region], MATCH($A11, tblCPI_Map[Census Division and State], 0)), tblCPI[[#Headers],[West]:[National]], 0)+1, FALSE) /VLOOKUP(2024, tblCPI[], MATCH(INDEX(tblCPI_Map[CPI Region], MATCH($A11, tblCPI_Map[Census Division and State], 0)), tblCPI[[#Headers],[West]:[National]], 0)+1, FALSE)</f>
        <v>18.990056566491059</v>
      </c>
      <c r="H11" s="26">
        <f t="shared" si="0"/>
        <v>19.39</v>
      </c>
      <c r="J11" s="25" t="s">
        <v>173</v>
      </c>
      <c r="K11" s="26">
        <f t="shared" si="3"/>
        <v>0.31099067529845215</v>
      </c>
      <c r="L11" s="26">
        <f t="shared" si="1"/>
        <v>0.39994343350894113</v>
      </c>
      <c r="M11" s="26">
        <f t="shared" si="2"/>
        <v>-8.895275821048898E-2</v>
      </c>
      <c r="O11" s="26"/>
    </row>
    <row r="12" spans="1:16" x14ac:dyDescent="0.25">
      <c r="A12" s="60" t="s">
        <v>174</v>
      </c>
      <c r="B12" s="44">
        <v>12.35</v>
      </c>
      <c r="C12" s="44">
        <v>16.11</v>
      </c>
      <c r="D12" s="26">
        <v>18.07</v>
      </c>
      <c r="E12" s="26"/>
      <c r="F12" s="61">
        <f>$B12 * VLOOKUP(2025, tblCPI[], MATCH(INDEX(tblCPI_Map[CPI Region], MATCH($A12, tblCPI_Map[Census Division and State], 0)), tblCPI[[#Headers],[West]:[National]], 0)+1, FALSE) /VLOOKUP(2019, tblCPI[], MATCH(INDEX(tblCPI_Map[CPI Region], MATCH($A12, tblCPI_Map[Census Division and State], 0)), tblCPI[[#Headers],[West]:[National]], 0)+1, FALSE)</f>
        <v>15.340219085941676</v>
      </c>
      <c r="G12" s="61">
        <f>$C12 * VLOOKUP(2025, tblCPI[], MATCH(INDEX(tblCPI_Map[CPI Region], MATCH($A12, tblCPI_Map[Census Division and State], 0)), tblCPI[[#Headers],[West]:[National]], 0)+1, FALSE) /VLOOKUP(2024, tblCPI[], MATCH(INDEX(tblCPI_Map[CPI Region], MATCH($A12, tblCPI_Map[Census Division and State], 0)), tblCPI[[#Headers],[West]:[National]], 0)+1, FALSE)</f>
        <v>16.617588880291741</v>
      </c>
      <c r="H12" s="26">
        <f t="shared" si="0"/>
        <v>18.07</v>
      </c>
      <c r="J12" s="60" t="s">
        <v>174</v>
      </c>
      <c r="K12" s="26">
        <f t="shared" si="3"/>
        <v>2.729780914058324</v>
      </c>
      <c r="L12" s="26">
        <f t="shared" si="1"/>
        <v>1.452411119708259</v>
      </c>
      <c r="M12" s="26">
        <f t="shared" si="2"/>
        <v>1.277369794350065</v>
      </c>
      <c r="O12" s="26"/>
    </row>
    <row r="13" spans="1:16" x14ac:dyDescent="0.25">
      <c r="A13" s="25" t="s">
        <v>175</v>
      </c>
      <c r="B13" s="44">
        <v>13.42</v>
      </c>
      <c r="C13" s="44">
        <v>16.29</v>
      </c>
      <c r="D13" s="26">
        <v>18.84</v>
      </c>
      <c r="E13" s="26"/>
      <c r="F13" s="61">
        <f>$B13 * VLOOKUP(2025, tblCPI[], MATCH(INDEX(tblCPI_Map[CPI Region], MATCH($A13, tblCPI_Map[Census Division and State], 0)), tblCPI[[#Headers],[West]:[National]], 0)+1, FALSE) /VLOOKUP(2019, tblCPI[], MATCH(INDEX(tblCPI_Map[CPI Region], MATCH($A13, tblCPI_Map[Census Division and State], 0)), tblCPI[[#Headers],[West]:[National]], 0)+1, FALSE)</f>
        <v>16.669290699055651</v>
      </c>
      <c r="G13" s="61">
        <f>$C13 * VLOOKUP(2025, tblCPI[], MATCH(INDEX(tblCPI_Map[CPI Region], MATCH($A13, tblCPI_Map[Census Division and State], 0)), tblCPI[[#Headers],[West]:[National]], 0)+1, FALSE) /VLOOKUP(2024, tblCPI[], MATCH(INDEX(tblCPI_Map[CPI Region], MATCH($A13, tblCPI_Map[Census Division and State], 0)), tblCPI[[#Headers],[West]:[National]], 0)+1, FALSE)</f>
        <v>16.803260264429078</v>
      </c>
      <c r="H13" s="26">
        <f t="shared" si="0"/>
        <v>18.84</v>
      </c>
      <c r="J13" s="25" t="s">
        <v>175</v>
      </c>
      <c r="K13" s="26">
        <f t="shared" si="3"/>
        <v>2.170709300944349</v>
      </c>
      <c r="L13" s="26">
        <f t="shared" si="1"/>
        <v>2.0367397355709222</v>
      </c>
      <c r="M13" s="26">
        <f t="shared" si="2"/>
        <v>0.13396956537342675</v>
      </c>
      <c r="O13" s="26"/>
    </row>
    <row r="14" spans="1:16" x14ac:dyDescent="0.25">
      <c r="A14" s="25" t="s">
        <v>176</v>
      </c>
      <c r="B14" s="44">
        <v>14.34</v>
      </c>
      <c r="C14" s="44">
        <v>19.66</v>
      </c>
      <c r="D14" s="26">
        <v>21.62</v>
      </c>
      <c r="E14" s="26"/>
      <c r="F14" s="61">
        <f>$B14 * VLOOKUP(2025, tblCPI[], MATCH(INDEX(tblCPI_Map[CPI Region], MATCH($A14, tblCPI_Map[Census Division and State], 0)), tblCPI[[#Headers],[West]:[National]], 0)+1, FALSE) /VLOOKUP(2019, tblCPI[], MATCH(INDEX(tblCPI_Map[CPI Region], MATCH($A14, tblCPI_Map[Census Division and State], 0)), tblCPI[[#Headers],[West]:[National]], 0)+1, FALSE)</f>
        <v>17.812043861733088</v>
      </c>
      <c r="G14" s="61">
        <f>$C14 * VLOOKUP(2025, tblCPI[], MATCH(INDEX(tblCPI_Map[CPI Region], MATCH($A14, tblCPI_Map[Census Division and State], 0)), tblCPI[[#Headers],[West]:[National]], 0)+1, FALSE) /VLOOKUP(2024, tblCPI[], MATCH(INDEX(tblCPI_Map[CPI Region], MATCH($A14, tblCPI_Map[Census Division and State], 0)), tblCPI[[#Headers],[West]:[National]], 0)+1, FALSE)</f>
        <v>20.279441178555903</v>
      </c>
      <c r="H14" s="26">
        <f t="shared" si="0"/>
        <v>21.62</v>
      </c>
      <c r="J14" s="25" t="s">
        <v>176</v>
      </c>
      <c r="K14" s="26">
        <f t="shared" si="3"/>
        <v>3.8079561382669134</v>
      </c>
      <c r="L14" s="26">
        <f t="shared" si="1"/>
        <v>1.3405588214440982</v>
      </c>
      <c r="M14" s="26">
        <f t="shared" si="2"/>
        <v>2.4673973168228152</v>
      </c>
      <c r="O14" s="26"/>
      <c r="P14" s="26"/>
    </row>
    <row r="15" spans="1:16" x14ac:dyDescent="0.25">
      <c r="A15" s="25" t="s">
        <v>177</v>
      </c>
      <c r="B15" s="44">
        <v>9.81</v>
      </c>
      <c r="C15" s="44">
        <v>12.51</v>
      </c>
      <c r="D15" s="26">
        <v>14.11</v>
      </c>
      <c r="E15" s="26"/>
      <c r="F15" s="61">
        <f>$B15 * VLOOKUP(2025, tblCPI[], MATCH(INDEX(tblCPI_Map[CPI Region], MATCH($A15, tblCPI_Map[Census Division and State], 0)), tblCPI[[#Headers],[West]:[National]], 0)+1, FALSE) /VLOOKUP(2019, tblCPI[], MATCH(INDEX(tblCPI_Map[CPI Region], MATCH($A15, tblCPI_Map[Census Division and State], 0)), tblCPI[[#Headers],[West]:[National]], 0)+1, FALSE)</f>
        <v>12.185226658549624</v>
      </c>
      <c r="G15" s="61">
        <f>$C15 * VLOOKUP(2025, tblCPI[], MATCH(INDEX(tblCPI_Map[CPI Region], MATCH($A15, tblCPI_Map[Census Division and State], 0)), tblCPI[[#Headers],[West]:[National]], 0)+1, FALSE) /VLOOKUP(2024, tblCPI[], MATCH(INDEX(tblCPI_Map[CPI Region], MATCH($A15, tblCPI_Map[Census Division and State], 0)), tblCPI[[#Headers],[West]:[National]], 0)+1, FALSE)</f>
        <v>12.904161197544983</v>
      </c>
      <c r="H15" s="26">
        <f t="shared" si="0"/>
        <v>14.11</v>
      </c>
      <c r="J15" s="25" t="s">
        <v>177</v>
      </c>
      <c r="K15" s="26">
        <f t="shared" si="3"/>
        <v>1.9247733414503756</v>
      </c>
      <c r="L15" s="26">
        <f t="shared" si="1"/>
        <v>1.2058388024550162</v>
      </c>
      <c r="M15" s="26">
        <f t="shared" si="2"/>
        <v>0.71893453899535942</v>
      </c>
      <c r="O15" s="26"/>
    </row>
    <row r="16" spans="1:16" x14ac:dyDescent="0.25">
      <c r="A16" s="60" t="s">
        <v>178</v>
      </c>
      <c r="B16" s="44">
        <v>10.130000000000001</v>
      </c>
      <c r="C16" s="44">
        <v>12.22</v>
      </c>
      <c r="D16" s="26">
        <v>13.28</v>
      </c>
      <c r="E16" s="26"/>
      <c r="F16" s="61">
        <f>$B16 * VLOOKUP(2025, tblCPI[], MATCH(INDEX(tblCPI_Map[CPI Region], MATCH($A16, tblCPI_Map[Census Division and State], 0)), tblCPI[[#Headers],[West]:[National]], 0)+1, FALSE) /VLOOKUP(2019, tblCPI[], MATCH(INDEX(tblCPI_Map[CPI Region], MATCH($A16, tblCPI_Map[Census Division and State], 0)), tblCPI[[#Headers],[West]:[National]], 0)+1, FALSE)</f>
        <v>12.714177587309065</v>
      </c>
      <c r="G16" s="61">
        <f>$C16 * VLOOKUP(2025, tblCPI[], MATCH(INDEX(tblCPI_Map[CPI Region], MATCH($A16, tblCPI_Map[Census Division and State], 0)), tblCPI[[#Headers],[West]:[National]], 0)+1, FALSE) /VLOOKUP(2024, tblCPI[], MATCH(INDEX(tblCPI_Map[CPI Region], MATCH($A16, tblCPI_Map[Census Division and State], 0)), tblCPI[[#Headers],[West]:[National]], 0)+1, FALSE)</f>
        <v>12.559325205771946</v>
      </c>
      <c r="H16" s="26">
        <f t="shared" si="0"/>
        <v>13.28</v>
      </c>
      <c r="J16" s="60" t="s">
        <v>178</v>
      </c>
      <c r="K16" s="26">
        <f t="shared" si="3"/>
        <v>0.56582241269093458</v>
      </c>
      <c r="L16" s="26">
        <f t="shared" si="1"/>
        <v>0.72067479422805292</v>
      </c>
      <c r="M16" s="26">
        <f t="shared" si="2"/>
        <v>-0.15485238153711833</v>
      </c>
      <c r="O16" s="26"/>
    </row>
    <row r="17" spans="1:15" x14ac:dyDescent="0.25">
      <c r="A17" s="25" t="s">
        <v>179</v>
      </c>
      <c r="B17" s="44">
        <v>9.56</v>
      </c>
      <c r="C17" s="44">
        <v>12.21</v>
      </c>
      <c r="D17" s="26">
        <v>13.74</v>
      </c>
      <c r="E17" s="26"/>
      <c r="F17" s="61">
        <f>$B17 * VLOOKUP(2025, tblCPI[], MATCH(INDEX(tblCPI_Map[CPI Region], MATCH($A17, tblCPI_Map[Census Division and State], 0)), tblCPI[[#Headers],[West]:[National]], 0)+1, FALSE) /VLOOKUP(2019, tblCPI[], MATCH(INDEX(tblCPI_Map[CPI Region], MATCH($A17, tblCPI_Map[Census Division and State], 0)), tblCPI[[#Headers],[West]:[National]], 0)+1, FALSE)</f>
        <v>11.998769766502926</v>
      </c>
      <c r="G17" s="61">
        <f>$C17 * VLOOKUP(2025, tblCPI[], MATCH(INDEX(tblCPI_Map[CPI Region], MATCH($A17, tblCPI_Map[Census Division and State], 0)), tblCPI[[#Headers],[West]:[National]], 0)+1, FALSE) /VLOOKUP(2024, tblCPI[], MATCH(INDEX(tblCPI_Map[CPI Region], MATCH($A17, tblCPI_Map[Census Division and State], 0)), tblCPI[[#Headers],[West]:[National]], 0)+1, FALSE)</f>
        <v>12.549047525570824</v>
      </c>
      <c r="H17" s="26">
        <f t="shared" si="0"/>
        <v>13.74</v>
      </c>
      <c r="J17" s="25" t="s">
        <v>179</v>
      </c>
      <c r="K17" s="26">
        <f t="shared" si="3"/>
        <v>1.741230233497074</v>
      </c>
      <c r="L17" s="26">
        <f t="shared" si="1"/>
        <v>1.1909524744291762</v>
      </c>
      <c r="M17" s="26">
        <f t="shared" si="2"/>
        <v>0.55027775906789778</v>
      </c>
      <c r="O17" s="26"/>
    </row>
    <row r="18" spans="1:15" x14ac:dyDescent="0.25">
      <c r="A18" s="25" t="s">
        <v>180</v>
      </c>
      <c r="B18" s="44">
        <v>9.91</v>
      </c>
      <c r="C18" s="44">
        <v>11.38</v>
      </c>
      <c r="D18" s="26">
        <v>12.57</v>
      </c>
      <c r="E18" s="26"/>
      <c r="F18" s="61">
        <f>$B18 * VLOOKUP(2025, tblCPI[], MATCH(INDEX(tblCPI_Map[CPI Region], MATCH($A18, tblCPI_Map[Census Division and State], 0)), tblCPI[[#Headers],[West]:[National]], 0)+1, FALSE) /VLOOKUP(2019, tblCPI[], MATCH(INDEX(tblCPI_Map[CPI Region], MATCH($A18, tblCPI_Map[Census Division and State], 0)), tblCPI[[#Headers],[West]:[National]], 0)+1, FALSE)</f>
        <v>12.438055270506695</v>
      </c>
      <c r="G18" s="61">
        <f>$C18 * VLOOKUP(2025, tblCPI[], MATCH(INDEX(tblCPI_Map[CPI Region], MATCH($A18, tblCPI_Map[Census Division and State], 0)), tblCPI[[#Headers],[West]:[National]], 0)+1, FALSE) /VLOOKUP(2024, tblCPI[], MATCH(INDEX(tblCPI_Map[CPI Region], MATCH($A18, tblCPI_Map[Census Division and State], 0)), tblCPI[[#Headers],[West]:[National]], 0)+1, FALSE)</f>
        <v>11.696000068877639</v>
      </c>
      <c r="H18" s="26">
        <f t="shared" si="0"/>
        <v>12.57</v>
      </c>
      <c r="J18" s="25" t="s">
        <v>180</v>
      </c>
      <c r="K18" s="26">
        <f t="shared" si="3"/>
        <v>0.1319447294933056</v>
      </c>
      <c r="L18" s="26">
        <f t="shared" si="1"/>
        <v>0.87399993112236096</v>
      </c>
      <c r="M18" s="26">
        <f t="shared" si="2"/>
        <v>-0.74205520162905536</v>
      </c>
      <c r="O18" s="26"/>
    </row>
    <row r="19" spans="1:15" x14ac:dyDescent="0.25">
      <c r="A19" s="25" t="s">
        <v>181</v>
      </c>
      <c r="B19" s="44">
        <v>11.56</v>
      </c>
      <c r="C19" s="44">
        <v>14.16</v>
      </c>
      <c r="D19" s="26">
        <v>14.73</v>
      </c>
      <c r="E19" s="26"/>
      <c r="F19" s="61">
        <f>$B19 * VLOOKUP(2025, tblCPI[], MATCH(INDEX(tblCPI_Map[CPI Region], MATCH($A19, tblCPI_Map[Census Division and State], 0)), tblCPI[[#Headers],[West]:[National]], 0)+1, FALSE) /VLOOKUP(2019, tblCPI[], MATCH(INDEX(tblCPI_Map[CPI Region], MATCH($A19, tblCPI_Map[Census Division and State], 0)), tblCPI[[#Headers],[West]:[National]], 0)+1, FALSE)</f>
        <v>14.508972646524459</v>
      </c>
      <c r="G19" s="61">
        <f>$C19 * VLOOKUP(2025, tblCPI[], MATCH(INDEX(tblCPI_Map[CPI Region], MATCH($A19, tblCPI_Map[Census Division and State], 0)), tblCPI[[#Headers],[West]:[National]], 0)+1, FALSE) /VLOOKUP(2024, tblCPI[], MATCH(INDEX(tblCPI_Map[CPI Region], MATCH($A19, tblCPI_Map[Census Division and State], 0)), tblCPI[[#Headers],[West]:[National]], 0)+1, FALSE)</f>
        <v>14.55319516478975</v>
      </c>
      <c r="H19" s="26">
        <f t="shared" si="0"/>
        <v>14.73</v>
      </c>
      <c r="J19" s="25" t="s">
        <v>181</v>
      </c>
      <c r="K19" s="26">
        <f t="shared" si="3"/>
        <v>0.22102735347554159</v>
      </c>
      <c r="L19" s="26">
        <f t="shared" si="1"/>
        <v>0.17680483521025003</v>
      </c>
      <c r="M19" s="26">
        <f t="shared" si="2"/>
        <v>4.4222518265291555E-2</v>
      </c>
      <c r="O19" s="26"/>
    </row>
    <row r="20" spans="1:15" x14ac:dyDescent="0.25">
      <c r="A20" s="25" t="s">
        <v>182</v>
      </c>
      <c r="B20" s="44">
        <v>9.58</v>
      </c>
      <c r="C20" s="44">
        <v>11.29</v>
      </c>
      <c r="D20" s="26">
        <v>12.43</v>
      </c>
      <c r="E20" s="44"/>
      <c r="F20" s="61">
        <f>$B20 * VLOOKUP(2025, tblCPI[], MATCH(INDEX(tblCPI_Map[CPI Region], MATCH($A20, tblCPI_Map[Census Division and State], 0)), tblCPI[[#Headers],[West]:[National]], 0)+1, FALSE) /VLOOKUP(2019, tblCPI[], MATCH(INDEX(tblCPI_Map[CPI Region], MATCH($A20, tblCPI_Map[Census Division and State], 0)), tblCPI[[#Headers],[West]:[National]], 0)+1, FALSE)</f>
        <v>12.023871795303142</v>
      </c>
      <c r="G20" s="61">
        <f>$C20 * VLOOKUP(2025, tblCPI[], MATCH(INDEX(tblCPI_Map[CPI Region], MATCH($A20, tblCPI_Map[Census Division and State], 0)), tblCPI[[#Headers],[West]:[National]], 0)+1, FALSE) /VLOOKUP(2024, tblCPI[], MATCH(INDEX(tblCPI_Map[CPI Region], MATCH($A20, tblCPI_Map[Census Division and State], 0)), tblCPI[[#Headers],[West]:[National]], 0)+1, FALSE)</f>
        <v>11.603500947067534</v>
      </c>
      <c r="H20" s="26">
        <f t="shared" si="0"/>
        <v>12.43</v>
      </c>
      <c r="J20" s="25" t="s">
        <v>182</v>
      </c>
      <c r="K20" s="26">
        <f t="shared" si="3"/>
        <v>0.40612820469685751</v>
      </c>
      <c r="L20" s="26">
        <f t="shared" si="1"/>
        <v>0.82649905293246562</v>
      </c>
      <c r="M20" s="26">
        <f t="shared" si="2"/>
        <v>-0.42037084823560811</v>
      </c>
      <c r="O20" s="26"/>
    </row>
    <row r="21" spans="1:15" x14ac:dyDescent="0.25">
      <c r="A21" s="25" t="s">
        <v>185</v>
      </c>
      <c r="B21" s="44">
        <v>10.66</v>
      </c>
      <c r="C21" s="44">
        <v>12.72</v>
      </c>
      <c r="D21" s="26">
        <v>13.35</v>
      </c>
      <c r="E21" s="44"/>
      <c r="F21" s="61">
        <f>$B21 * VLOOKUP(2025, tblCPI[], MATCH(INDEX(tblCPI_Map[CPI Region], MATCH($A21, tblCPI_Map[Census Division and State], 0)), tblCPI[[#Headers],[West]:[National]], 0)+1, FALSE) /VLOOKUP(2019, tblCPI[], MATCH(INDEX(tblCPI_Map[CPI Region], MATCH($A21, tblCPI_Map[Census Division and State], 0)), tblCPI[[#Headers],[West]:[National]], 0)+1, FALSE)</f>
        <v>13.37938135051477</v>
      </c>
      <c r="G21" s="61">
        <f>$C21 * VLOOKUP(2025, tblCPI[], MATCH(INDEX(tblCPI_Map[CPI Region], MATCH($A21, tblCPI_Map[Census Division and State], 0)), tblCPI[[#Headers],[West]:[National]], 0)+1, FALSE) /VLOOKUP(2024, tblCPI[], MATCH(INDEX(tblCPI_Map[CPI Region], MATCH($A21, tblCPI_Map[Census Division and State], 0)), tblCPI[[#Headers],[West]:[National]], 0)+1, FALSE)</f>
        <v>13.073209215828081</v>
      </c>
      <c r="H21" s="26">
        <f t="shared" si="0"/>
        <v>13.35</v>
      </c>
      <c r="J21" s="25" t="s">
        <v>185</v>
      </c>
      <c r="K21" s="26">
        <f t="shared" si="3"/>
        <v>-2.9381350514769977E-2</v>
      </c>
      <c r="L21" s="26">
        <f t="shared" si="1"/>
        <v>0.2767907841719186</v>
      </c>
      <c r="M21" s="26">
        <f t="shared" si="2"/>
        <v>-0.30617213468668858</v>
      </c>
      <c r="O21" s="26"/>
    </row>
    <row r="22" spans="1:15" x14ac:dyDescent="0.25">
      <c r="A22" s="60" t="s">
        <v>188</v>
      </c>
      <c r="B22" s="44">
        <v>9.69</v>
      </c>
      <c r="C22" s="44">
        <v>10.52</v>
      </c>
      <c r="D22" s="26">
        <v>10.91</v>
      </c>
      <c r="E22" s="44"/>
      <c r="F22" s="61">
        <f>$B22 * VLOOKUP(2025, tblCPI[], MATCH(INDEX(tblCPI_Map[CPI Region], MATCH($A22, tblCPI_Map[Census Division and State], 0)), tblCPI[[#Headers],[West]:[National]], 0)+1, FALSE) /VLOOKUP(2019, tblCPI[], MATCH(INDEX(tblCPI_Map[CPI Region], MATCH($A22, tblCPI_Map[Census Division and State], 0)), tblCPI[[#Headers],[West]:[National]], 0)+1, FALSE)</f>
        <v>12.161932953704325</v>
      </c>
      <c r="G22" s="61">
        <f>$C22 * VLOOKUP(2025, tblCPI[], MATCH(INDEX(tblCPI_Map[CPI Region], MATCH($A22, tblCPI_Map[Census Division and State], 0)), tblCPI[[#Headers],[West]:[National]], 0)+1, FALSE) /VLOOKUP(2024, tblCPI[], MATCH(INDEX(tblCPI_Map[CPI Region], MATCH($A22, tblCPI_Map[Census Division and State], 0)), tblCPI[[#Headers],[West]:[National]], 0)+1, FALSE)</f>
        <v>10.812119571581086</v>
      </c>
      <c r="H22" s="26">
        <f t="shared" si="0"/>
        <v>10.91</v>
      </c>
      <c r="J22" s="60" t="s">
        <v>188</v>
      </c>
      <c r="K22" s="26">
        <f t="shared" si="3"/>
        <v>-1.2519329537043244</v>
      </c>
      <c r="L22" s="26">
        <f t="shared" si="1"/>
        <v>9.7880428418914533E-2</v>
      </c>
      <c r="M22" s="26">
        <f t="shared" si="2"/>
        <v>-1.349813382123239</v>
      </c>
      <c r="O22" s="26"/>
    </row>
    <row r="23" spans="1:15" x14ac:dyDescent="0.25">
      <c r="A23" s="25" t="s">
        <v>191</v>
      </c>
      <c r="B23" s="44">
        <v>9.08</v>
      </c>
      <c r="C23" s="44">
        <v>9.34</v>
      </c>
      <c r="D23" s="26">
        <v>9.76</v>
      </c>
      <c r="E23" s="44"/>
      <c r="F23" s="61">
        <f>$B23 * VLOOKUP(2025, tblCPI[], MATCH(INDEX(tblCPI_Map[CPI Region], MATCH($A23, tblCPI_Map[Census Division and State], 0)), tblCPI[[#Headers],[West]:[National]], 0)+1, FALSE) /VLOOKUP(2019, tblCPI[], MATCH(INDEX(tblCPI_Map[CPI Region], MATCH($A23, tblCPI_Map[Census Division and State], 0)), tblCPI[[#Headers],[West]:[National]], 0)+1, FALSE)</f>
        <v>11.396321075297758</v>
      </c>
      <c r="G23" s="61">
        <f>$C23 * VLOOKUP(2025, tblCPI[], MATCH(INDEX(tblCPI_Map[CPI Region], MATCH($A23, tblCPI_Map[Census Division and State], 0)), tblCPI[[#Headers],[West]:[National]], 0)+1, FALSE) /VLOOKUP(2024, tblCPI[], MATCH(INDEX(tblCPI_Map[CPI Region], MATCH($A23, tblCPI_Map[Census Division and State], 0)), tblCPI[[#Headers],[West]:[National]], 0)+1, FALSE)</f>
        <v>9.599353307848606</v>
      </c>
      <c r="H23" s="26">
        <f t="shared" si="0"/>
        <v>9.76</v>
      </c>
      <c r="J23" s="25" t="s">
        <v>191</v>
      </c>
      <c r="K23" s="26">
        <f t="shared" si="3"/>
        <v>-1.6363210752977579</v>
      </c>
      <c r="L23" s="26">
        <f t="shared" si="1"/>
        <v>0.16064669215139382</v>
      </c>
      <c r="M23" s="26">
        <f t="shared" si="2"/>
        <v>-1.7969677674491518</v>
      </c>
      <c r="O23" s="26"/>
    </row>
    <row r="24" spans="1:15" x14ac:dyDescent="0.25">
      <c r="A24" s="25" t="s">
        <v>193</v>
      </c>
      <c r="B24" s="44">
        <v>10.26</v>
      </c>
      <c r="C24" s="44">
        <v>11.21</v>
      </c>
      <c r="D24" s="26">
        <v>11.52</v>
      </c>
      <c r="E24" s="44"/>
      <c r="F24" s="61">
        <f>$B24 * VLOOKUP(2025, tblCPI[], MATCH(INDEX(tblCPI_Map[CPI Region], MATCH($A24, tblCPI_Map[Census Division and State], 0)), tblCPI[[#Headers],[West]:[National]], 0)+1, FALSE) /VLOOKUP(2019, tblCPI[], MATCH(INDEX(tblCPI_Map[CPI Region], MATCH($A24, tblCPI_Map[Census Division and State], 0)), tblCPI[[#Headers],[West]:[National]], 0)+1, FALSE)</f>
        <v>12.877340774510463</v>
      </c>
      <c r="G24" s="61">
        <f>$C24 * VLOOKUP(2025, tblCPI[], MATCH(INDEX(tblCPI_Map[CPI Region], MATCH($A24, tblCPI_Map[Census Division and State], 0)), tblCPI[[#Headers],[West]:[National]], 0)+1, FALSE) /VLOOKUP(2024, tblCPI[], MATCH(INDEX(tblCPI_Map[CPI Region], MATCH($A24, tblCPI_Map[Census Division and State], 0)), tblCPI[[#Headers],[West]:[National]], 0)+1, FALSE)</f>
        <v>11.521279505458553</v>
      </c>
      <c r="H24" s="26">
        <f t="shared" si="0"/>
        <v>11.52</v>
      </c>
      <c r="J24" s="25" t="s">
        <v>193</v>
      </c>
      <c r="K24" s="26">
        <f t="shared" si="3"/>
        <v>-1.3573407745104635</v>
      </c>
      <c r="L24" s="26">
        <f t="shared" si="1"/>
        <v>-1.2795054585534871E-3</v>
      </c>
      <c r="M24" s="26">
        <f t="shared" si="2"/>
        <v>-1.35606126905191</v>
      </c>
      <c r="O24" s="26"/>
    </row>
    <row r="25" spans="1:15" x14ac:dyDescent="0.25">
      <c r="A25" s="25" t="s">
        <v>195</v>
      </c>
      <c r="B25" s="44">
        <v>10.33</v>
      </c>
      <c r="C25" s="44">
        <v>12.35</v>
      </c>
      <c r="D25" s="26">
        <v>12.67</v>
      </c>
      <c r="E25" s="44"/>
      <c r="F25" s="61">
        <f>$B25 * VLOOKUP(2025, tblCPI[], MATCH(INDEX(tblCPI_Map[CPI Region], MATCH($A25, tblCPI_Map[Census Division and State], 0)), tblCPI[[#Headers],[West]:[National]], 0)+1, FALSE) /VLOOKUP(2019, tblCPI[], MATCH(INDEX(tblCPI_Map[CPI Region], MATCH($A25, tblCPI_Map[Census Division and State], 0)), tblCPI[[#Headers],[West]:[National]], 0)+1, FALSE)</f>
        <v>12.965197875311217</v>
      </c>
      <c r="G25" s="61">
        <f>$C25 * VLOOKUP(2025, tblCPI[], MATCH(INDEX(tblCPI_Map[CPI Region], MATCH($A25, tblCPI_Map[Census Division and State], 0)), tblCPI[[#Headers],[West]:[National]], 0)+1, FALSE) /VLOOKUP(2024, tblCPI[], MATCH(INDEX(tblCPI_Map[CPI Region], MATCH($A25, tblCPI_Map[Census Division and State], 0)), tblCPI[[#Headers],[West]:[National]], 0)+1, FALSE)</f>
        <v>12.69293504838654</v>
      </c>
      <c r="H25" s="26">
        <f t="shared" si="0"/>
        <v>12.67</v>
      </c>
      <c r="J25" s="25" t="s">
        <v>195</v>
      </c>
      <c r="K25" s="26">
        <f t="shared" si="3"/>
        <v>-0.29519787531121722</v>
      </c>
      <c r="L25" s="26">
        <f t="shared" si="1"/>
        <v>-2.2935048386539592E-2</v>
      </c>
      <c r="M25" s="26">
        <f t="shared" si="2"/>
        <v>-0.27226282692467763</v>
      </c>
      <c r="O25" s="26"/>
    </row>
    <row r="26" spans="1:15" x14ac:dyDescent="0.25">
      <c r="A26" s="25" t="s">
        <v>196</v>
      </c>
      <c r="B26" s="44">
        <v>9.68</v>
      </c>
      <c r="C26" s="44">
        <v>11.06</v>
      </c>
      <c r="D26" s="26">
        <v>11.57</v>
      </c>
      <c r="E26" s="44"/>
      <c r="F26" s="61">
        <f>$B26 * VLOOKUP(2025, tblCPI[], MATCH(INDEX(tblCPI_Map[CPI Region], MATCH($A26, tblCPI_Map[Census Division and State], 0)), tblCPI[[#Headers],[West]:[National]], 0)+1, FALSE) /VLOOKUP(2019, tblCPI[], MATCH(INDEX(tblCPI_Map[CPI Region], MATCH($A26, tblCPI_Map[Census Division and State], 0)), tblCPI[[#Headers],[West]:[National]], 0)+1, FALSE)</f>
        <v>12.149381939304218</v>
      </c>
      <c r="G26" s="61">
        <f>$C26 * VLOOKUP(2025, tblCPI[], MATCH(INDEX(tblCPI_Map[CPI Region], MATCH($A26, tblCPI_Map[Census Division and State], 0)), tblCPI[[#Headers],[West]:[National]], 0)+1, FALSE) /VLOOKUP(2024, tblCPI[], MATCH(INDEX(tblCPI_Map[CPI Region], MATCH($A26, tblCPI_Map[Census Division and State], 0)), tblCPI[[#Headers],[West]:[National]], 0)+1, FALSE)</f>
        <v>11.367114302441712</v>
      </c>
      <c r="H26" s="26">
        <f t="shared" si="0"/>
        <v>11.57</v>
      </c>
      <c r="J26" s="25" t="s">
        <v>196</v>
      </c>
      <c r="K26" s="26">
        <f t="shared" si="3"/>
        <v>-0.57938193930421811</v>
      </c>
      <c r="L26" s="26">
        <f t="shared" si="1"/>
        <v>0.20288569755828867</v>
      </c>
      <c r="M26" s="26">
        <f t="shared" si="2"/>
        <v>-0.78226763686250678</v>
      </c>
      <c r="O26" s="26"/>
    </row>
    <row r="27" spans="1:15" x14ac:dyDescent="0.25">
      <c r="A27" s="25" t="s">
        <v>199</v>
      </c>
      <c r="B27" s="44">
        <v>9.08</v>
      </c>
      <c r="C27" s="44">
        <v>9.07</v>
      </c>
      <c r="D27" s="26">
        <v>9.5500000000000007</v>
      </c>
      <c r="E27" s="44"/>
      <c r="F27" s="61">
        <f>$B27 * VLOOKUP(2025, tblCPI[], MATCH(INDEX(tblCPI_Map[CPI Region], MATCH($A27, tblCPI_Map[Census Division and State], 0)), tblCPI[[#Headers],[West]:[National]], 0)+1, FALSE) /VLOOKUP(2019, tblCPI[], MATCH(INDEX(tblCPI_Map[CPI Region], MATCH($A27, tblCPI_Map[Census Division and State], 0)), tblCPI[[#Headers],[West]:[National]], 0)+1, FALSE)</f>
        <v>11.396321075297758</v>
      </c>
      <c r="G27" s="62">
        <f>$C27 * VLOOKUP(2025, tblCPI[], MATCH(INDEX(tblCPI_Map[CPI Region], MATCH($A27, tblCPI_Map[Census Division and State], 0)), tblCPI[[#Headers],[West]:[National]], 0)+1, FALSE) /VLOOKUP(2024, tblCPI[], MATCH(INDEX(tblCPI_Map[CPI Region], MATCH($A27, tblCPI_Map[Census Division and State], 0)), tblCPI[[#Headers],[West]:[National]], 0)+1, FALSE)</f>
        <v>9.3218559424182938</v>
      </c>
      <c r="H27" s="26">
        <f t="shared" si="0"/>
        <v>9.5500000000000007</v>
      </c>
      <c r="J27" s="25" t="s">
        <v>199</v>
      </c>
      <c r="K27" s="26">
        <f t="shared" si="3"/>
        <v>-1.846321075297757</v>
      </c>
      <c r="L27" s="26">
        <f t="shared" si="1"/>
        <v>0.22814405758170686</v>
      </c>
      <c r="M27" s="26">
        <f t="shared" si="2"/>
        <v>-2.0744651328794639</v>
      </c>
      <c r="O27" s="26"/>
    </row>
    <row r="28" spans="1:15" x14ac:dyDescent="0.25">
      <c r="A28" s="25" t="s">
        <v>201</v>
      </c>
      <c r="B28" s="44">
        <v>8.85</v>
      </c>
      <c r="C28" s="44">
        <v>7.93</v>
      </c>
      <c r="D28" s="26">
        <v>8.1999999999999993</v>
      </c>
      <c r="E28" s="44"/>
      <c r="F28" s="61">
        <f>$B28 * VLOOKUP(2025, tblCPI[], MATCH(INDEX(tblCPI_Map[CPI Region], MATCH($A28, tblCPI_Map[Census Division and State], 0)), tblCPI[[#Headers],[West]:[National]], 0)+1, FALSE) /VLOOKUP(2019, tblCPI[], MATCH(INDEX(tblCPI_Map[CPI Region], MATCH($A28, tblCPI_Map[Census Division and State], 0)), tblCPI[[#Headers],[West]:[National]], 0)+1, FALSE)</f>
        <v>11.107647744095281</v>
      </c>
      <c r="G28" s="61">
        <f>$C28 * VLOOKUP(2025, tblCPI[], MATCH(INDEX(tblCPI_Map[CPI Region], MATCH($A28, tblCPI_Map[Census Division and State], 0)), tblCPI[[#Headers],[West]:[National]], 0)+1, FALSE) /VLOOKUP(2024, tblCPI[], MATCH(INDEX(tblCPI_Map[CPI Region], MATCH($A28, tblCPI_Map[Census Division and State], 0)), tblCPI[[#Headers],[West]:[National]], 0)+1, FALSE)</f>
        <v>8.1502003994903038</v>
      </c>
      <c r="H28" s="26">
        <f t="shared" si="0"/>
        <v>8.1999999999999993</v>
      </c>
      <c r="J28" s="25" t="s">
        <v>201</v>
      </c>
      <c r="K28" s="26">
        <f t="shared" si="3"/>
        <v>-2.9076477440952821</v>
      </c>
      <c r="L28" s="26">
        <f t="shared" si="1"/>
        <v>4.9799600509695452E-2</v>
      </c>
      <c r="M28" s="26">
        <f t="shared" si="2"/>
        <v>-2.9574473446049776</v>
      </c>
      <c r="O28" s="26"/>
    </row>
    <row r="29" spans="1:15" x14ac:dyDescent="0.25">
      <c r="A29" s="25" t="s">
        <v>203</v>
      </c>
      <c r="B29" s="44">
        <v>9.9600000000000009</v>
      </c>
      <c r="C29" s="44">
        <v>10.87</v>
      </c>
      <c r="D29" s="26">
        <v>11.35</v>
      </c>
      <c r="E29" s="44"/>
      <c r="F29" s="61">
        <f>$B29 * VLOOKUP(2025, tblCPI[], MATCH(INDEX(tblCPI_Map[CPI Region], MATCH($A29, tblCPI_Map[Census Division and State], 0)), tblCPI[[#Headers],[West]:[National]], 0)+1, FALSE) /VLOOKUP(2019, tblCPI[], MATCH(INDEX(tblCPI_Map[CPI Region], MATCH($A29, tblCPI_Map[Census Division and State], 0)), tblCPI[[#Headers],[West]:[National]], 0)+1, FALSE)</f>
        <v>12.500810342507235</v>
      </c>
      <c r="G29" s="61">
        <f>$C29 * VLOOKUP(2025, tblCPI[], MATCH(INDEX(tblCPI_Map[CPI Region], MATCH($A29, tblCPI_Map[Census Division and State], 0)), tblCPI[[#Headers],[West]:[National]], 0)+1, FALSE) /VLOOKUP(2024, tblCPI[], MATCH(INDEX(tblCPI_Map[CPI Region], MATCH($A29, tblCPI_Map[Census Division and State], 0)), tblCPI[[#Headers],[West]:[National]], 0)+1, FALSE)</f>
        <v>11.171838378620381</v>
      </c>
      <c r="H29" s="26">
        <f t="shared" si="0"/>
        <v>11.35</v>
      </c>
      <c r="J29" s="25" t="s">
        <v>203</v>
      </c>
      <c r="K29" s="26">
        <f t="shared" si="3"/>
        <v>-1.1508103425072349</v>
      </c>
      <c r="L29" s="26">
        <f t="shared" si="1"/>
        <v>0.17816162137961911</v>
      </c>
      <c r="M29" s="26">
        <f t="shared" si="2"/>
        <v>-1.328971963886854</v>
      </c>
      <c r="O29" s="26"/>
    </row>
    <row r="30" spans="1:15" x14ac:dyDescent="0.25">
      <c r="A30" s="60" t="s">
        <v>204</v>
      </c>
      <c r="B30" s="44">
        <v>10.02</v>
      </c>
      <c r="C30" s="44">
        <v>11.92</v>
      </c>
      <c r="D30" s="26">
        <v>12.59</v>
      </c>
      <c r="E30" s="44"/>
      <c r="F30" s="61">
        <f>$B30 * VLOOKUP(2025, tblCPI[], MATCH(INDEX(tblCPI_Map[CPI Region], MATCH($A30, tblCPI_Map[Census Division and State], 0)), tblCPI[[#Headers],[West]:[National]], 0)+1, FALSE) /VLOOKUP(2019, tblCPI[], MATCH(INDEX(tblCPI_Map[CPI Region], MATCH($A30, tblCPI_Map[Census Division and State], 0)), tblCPI[[#Headers],[West]:[National]], 0)+1, FALSE)</f>
        <v>12.694495523115345</v>
      </c>
      <c r="G30" s="61">
        <f>$C30 * VLOOKUP(2025, tblCPI[], MATCH(INDEX(tblCPI_Map[CPI Region], MATCH($A30, tblCPI_Map[Census Division and State], 0)), tblCPI[[#Headers],[West]:[National]], 0)+1, FALSE) /VLOOKUP(2024, tblCPI[], MATCH(INDEX(tblCPI_Map[CPI Region], MATCH($A30, tblCPI_Map[Census Division and State], 0)), tblCPI[[#Headers],[West]:[National]], 0)+1, FALSE)</f>
        <v>12.185985117321511</v>
      </c>
      <c r="H30" s="26">
        <f t="shared" si="0"/>
        <v>12.59</v>
      </c>
      <c r="J30" s="60" t="s">
        <v>204</v>
      </c>
      <c r="K30" s="26">
        <f t="shared" si="3"/>
        <v>-0.10449552311534482</v>
      </c>
      <c r="L30" s="26">
        <f t="shared" si="1"/>
        <v>0.40401488267848862</v>
      </c>
      <c r="M30" s="26">
        <f t="shared" si="2"/>
        <v>-0.50851040579383344</v>
      </c>
      <c r="O30" s="26"/>
    </row>
    <row r="31" spans="1:15" x14ac:dyDescent="0.25">
      <c r="A31" s="25" t="s">
        <v>207</v>
      </c>
      <c r="B31" s="44">
        <v>10.52</v>
      </c>
      <c r="C31" s="44">
        <v>13.56</v>
      </c>
      <c r="D31" s="26">
        <v>14.19</v>
      </c>
      <c r="E31" s="44"/>
      <c r="F31" s="61">
        <f>$B31 * VLOOKUP(2025, tblCPI[], MATCH(INDEX(tblCPI_Map[CPI Region], MATCH($A31, tblCPI_Map[Census Division and State], 0)), tblCPI[[#Headers],[West]:[National]], 0)+1, FALSE) /VLOOKUP(2019, tblCPI[], MATCH(INDEX(tblCPI_Map[CPI Region], MATCH($A31, tblCPI_Map[Census Division and State], 0)), tblCPI[[#Headers],[West]:[National]], 0)+1, FALSE)</f>
        <v>13.327953383550241</v>
      </c>
      <c r="G31" s="61">
        <f>$C31 * VLOOKUP(2025, tblCPI[], MATCH(INDEX(tblCPI_Map[CPI Region], MATCH($A31, tblCPI_Map[Census Division and State], 0)), tblCPI[[#Headers],[West]:[National]], 0)+1, FALSE) /VLOOKUP(2024, tblCPI[], MATCH(INDEX(tblCPI_Map[CPI Region], MATCH($A31, tblCPI_Map[Census Division and State], 0)), tblCPI[[#Headers],[West]:[National]], 0)+1, FALSE)</f>
        <v>13.862580385140914</v>
      </c>
      <c r="H31" s="26">
        <f t="shared" si="0"/>
        <v>14.19</v>
      </c>
      <c r="J31" s="25" t="s">
        <v>207</v>
      </c>
      <c r="K31" s="26">
        <f t="shared" si="3"/>
        <v>0.86204661644975822</v>
      </c>
      <c r="L31" s="26">
        <f t="shared" si="1"/>
        <v>0.32741961485908533</v>
      </c>
      <c r="M31" s="26">
        <f t="shared" si="2"/>
        <v>0.53462700159067289</v>
      </c>
      <c r="O31" s="26"/>
    </row>
    <row r="32" spans="1:15" x14ac:dyDescent="0.25">
      <c r="A32" s="25" t="s">
        <v>208</v>
      </c>
      <c r="B32" s="44">
        <v>12.27</v>
      </c>
      <c r="C32" s="44">
        <v>16.88</v>
      </c>
      <c r="D32" s="26">
        <v>20.34</v>
      </c>
      <c r="E32" s="44"/>
      <c r="F32" s="61">
        <f>$B32 * VLOOKUP(2025, tblCPI[], MATCH(INDEX(tblCPI_Map[CPI Region], MATCH($A32, tblCPI_Map[Census Division and State], 0)), tblCPI[[#Headers],[West]:[National]], 0)+1, FALSE) /VLOOKUP(2019, tblCPI[], MATCH(INDEX(tblCPI_Map[CPI Region], MATCH($A32, tblCPI_Map[Census Division and State], 0)), tblCPI[[#Headers],[West]:[National]], 0)+1, FALSE)</f>
        <v>15.545055895072384</v>
      </c>
      <c r="G32" s="61">
        <f>$C32 * VLOOKUP(2025, tblCPI[], MATCH(INDEX(tblCPI_Map[CPI Region], MATCH($A32, tblCPI_Map[Census Division and State], 0)), tblCPI[[#Headers],[West]:[National]], 0)+1, FALSE) /VLOOKUP(2024, tblCPI[], MATCH(INDEX(tblCPI_Map[CPI Region], MATCH($A32, tblCPI_Map[Census Division and State], 0)), tblCPI[[#Headers],[West]:[National]], 0)+1, FALSE)</f>
        <v>17.256663488287508</v>
      </c>
      <c r="H32" s="26">
        <f t="shared" si="0"/>
        <v>20.34</v>
      </c>
      <c r="J32" s="25" t="s">
        <v>208</v>
      </c>
      <c r="K32" s="26">
        <f t="shared" si="3"/>
        <v>4.794944104927616</v>
      </c>
      <c r="L32" s="26">
        <f t="shared" si="1"/>
        <v>3.083336511712492</v>
      </c>
      <c r="M32" s="26">
        <f t="shared" si="2"/>
        <v>1.711607593215124</v>
      </c>
      <c r="O32" s="26"/>
    </row>
    <row r="33" spans="1:15" x14ac:dyDescent="0.25">
      <c r="A33" s="25" t="s">
        <v>209</v>
      </c>
      <c r="B33" s="44">
        <v>10.44</v>
      </c>
      <c r="C33" s="44">
        <v>12.53</v>
      </c>
      <c r="D33" s="26">
        <v>13.34</v>
      </c>
      <c r="E33" s="44"/>
      <c r="F33" s="61">
        <f>$B33 * VLOOKUP(2025, tblCPI[], MATCH(INDEX(tblCPI_Map[CPI Region], MATCH($A33, tblCPI_Map[Census Division and State], 0)), tblCPI[[#Headers],[West]:[National]], 0)+1, FALSE) /VLOOKUP(2019, tblCPI[], MATCH(INDEX(tblCPI_Map[CPI Region], MATCH($A33, tblCPI_Map[Census Division and State], 0)), tblCPI[[#Headers],[West]:[National]], 0)+1, FALSE)</f>
        <v>13.226600125880658</v>
      </c>
      <c r="G33" s="61">
        <f>$C33 * VLOOKUP(2025, tblCPI[], MATCH(INDEX(tblCPI_Map[CPI Region], MATCH($A33, tblCPI_Map[Census Division and State], 0)), tblCPI[[#Headers],[West]:[National]], 0)+1, FALSE) /VLOOKUP(2024, tblCPI[], MATCH(INDEX(tblCPI_Map[CPI Region], MATCH($A33, tblCPI_Map[Census Division and State], 0)), tblCPI[[#Headers],[West]:[National]], 0)+1, FALSE)</f>
        <v>12.809596771815311</v>
      </c>
      <c r="H33" s="26">
        <f t="shared" si="0"/>
        <v>13.34</v>
      </c>
      <c r="J33" s="25" t="s">
        <v>209</v>
      </c>
      <c r="K33" s="26">
        <f t="shared" si="3"/>
        <v>0.1133998741193416</v>
      </c>
      <c r="L33" s="26">
        <f t="shared" si="1"/>
        <v>0.53040322818468866</v>
      </c>
      <c r="M33" s="26">
        <f t="shared" si="2"/>
        <v>-0.41700335406534705</v>
      </c>
      <c r="O33" s="26"/>
    </row>
    <row r="34" spans="1:15" x14ac:dyDescent="0.25">
      <c r="A34" s="25" t="s">
        <v>210</v>
      </c>
      <c r="B34" s="44">
        <v>9.86</v>
      </c>
      <c r="C34" s="44">
        <v>11.4</v>
      </c>
      <c r="D34" s="26">
        <v>12.03</v>
      </c>
      <c r="E34" s="44"/>
      <c r="F34" s="61">
        <f>$B34 * VLOOKUP(2025, tblCPI[], MATCH(INDEX(tblCPI_Map[CPI Region], MATCH($A34, tblCPI_Map[Census Division and State], 0)), tblCPI[[#Headers],[West]:[National]], 0)+1, FALSE) /VLOOKUP(2019, tblCPI[], MATCH(INDEX(tblCPI_Map[CPI Region], MATCH($A34, tblCPI_Map[Census Division and State], 0)), tblCPI[[#Headers],[West]:[National]], 0)+1, FALSE)</f>
        <v>12.491789007776177</v>
      </c>
      <c r="G34" s="61">
        <f>$C34 * VLOOKUP(2025, tblCPI[], MATCH(INDEX(tblCPI_Map[CPI Region], MATCH($A34, tblCPI_Map[Census Division and State], 0)), tblCPI[[#Headers],[West]:[National]], 0)+1, FALSE) /VLOOKUP(2024, tblCPI[], MATCH(INDEX(tblCPI_Map[CPI Region], MATCH($A34, tblCPI_Map[Census Division and State], 0)), tblCPI[[#Headers],[West]:[National]], 0)+1, FALSE)</f>
        <v>11.654381739720238</v>
      </c>
      <c r="H34" s="26">
        <f t="shared" si="0"/>
        <v>12.03</v>
      </c>
      <c r="J34" s="25" t="s">
        <v>210</v>
      </c>
      <c r="K34" s="26">
        <f t="shared" si="3"/>
        <v>-0.46178900777617748</v>
      </c>
      <c r="L34" s="26">
        <f t="shared" si="1"/>
        <v>0.37561826027976153</v>
      </c>
      <c r="M34" s="26">
        <f t="shared" si="2"/>
        <v>-0.83740726805593901</v>
      </c>
      <c r="O34" s="26"/>
    </row>
    <row r="35" spans="1:15" x14ac:dyDescent="0.25">
      <c r="A35" s="25" t="s">
        <v>211</v>
      </c>
      <c r="B35" s="44">
        <v>11.24</v>
      </c>
      <c r="C35" s="44">
        <v>15.04</v>
      </c>
      <c r="D35" s="26">
        <v>16.829999999999998</v>
      </c>
      <c r="E35" s="44"/>
      <c r="F35" s="61">
        <f>$B35 * VLOOKUP(2025, tblCPI[], MATCH(INDEX(tblCPI_Map[CPI Region], MATCH($A35, tblCPI_Map[Census Division and State], 0)), tblCPI[[#Headers],[West]:[National]], 0)+1, FALSE) /VLOOKUP(2019, tblCPI[], MATCH(INDEX(tblCPI_Map[CPI Region], MATCH($A35, tblCPI_Map[Census Division and State], 0)), tblCPI[[#Headers],[West]:[National]], 0)+1, FALSE)</f>
        <v>14.240132702576494</v>
      </c>
      <c r="G35" s="61">
        <f>$C35 * VLOOKUP(2025, tblCPI[], MATCH(INDEX(tblCPI_Map[CPI Region], MATCH($A35, tblCPI_Map[Census Division and State], 0)), tblCPI[[#Headers],[West]:[National]], 0)+1, FALSE) /VLOOKUP(2024, tblCPI[], MATCH(INDEX(tblCPI_Map[CPI Region], MATCH($A35, tblCPI_Map[Census Division and State], 0)), tblCPI[[#Headers],[West]:[National]], 0)+1, FALSE)</f>
        <v>15.375605382929153</v>
      </c>
      <c r="H35" s="26">
        <f t="shared" si="0"/>
        <v>16.829999999999998</v>
      </c>
      <c r="J35" s="25" t="s">
        <v>211</v>
      </c>
      <c r="K35" s="26">
        <f t="shared" si="3"/>
        <v>2.5898672974235044</v>
      </c>
      <c r="L35" s="26">
        <f t="shared" si="1"/>
        <v>1.4543946170708448</v>
      </c>
      <c r="M35" s="26">
        <f t="shared" si="2"/>
        <v>1.1354726803526596</v>
      </c>
      <c r="O35" s="26"/>
    </row>
    <row r="36" spans="1:15" x14ac:dyDescent="0.25">
      <c r="A36" s="25" t="s">
        <v>212</v>
      </c>
      <c r="B36" s="44">
        <v>9.4499999999999993</v>
      </c>
      <c r="C36" s="44">
        <v>11.65</v>
      </c>
      <c r="D36" s="26">
        <v>11.53</v>
      </c>
      <c r="E36" s="44"/>
      <c r="F36" s="61">
        <f>$B36 * VLOOKUP(2025, tblCPI[], MATCH(INDEX(tblCPI_Map[CPI Region], MATCH($A36, tblCPI_Map[Census Division and State], 0)), tblCPI[[#Headers],[West]:[National]], 0)+1, FALSE) /VLOOKUP(2019, tblCPI[], MATCH(INDEX(tblCPI_Map[CPI Region], MATCH($A36, tblCPI_Map[Census Division and State], 0)), tblCPI[[#Headers],[West]:[National]], 0)+1, FALSE)</f>
        <v>11.972353562219562</v>
      </c>
      <c r="G36" s="61">
        <f>$C36 * VLOOKUP(2025, tblCPI[], MATCH(INDEX(tblCPI_Map[CPI Region], MATCH($A36, tblCPI_Map[Census Division and State], 0)), tblCPI[[#Headers],[West]:[National]], 0)+1, FALSE) /VLOOKUP(2024, tblCPI[], MATCH(INDEX(tblCPI_Map[CPI Region], MATCH($A36, tblCPI_Map[Census Division and State], 0)), tblCPI[[#Headers],[West]:[National]], 0)+1, FALSE)</f>
        <v>11.909960286643928</v>
      </c>
      <c r="H36" s="26">
        <f t="shared" si="0"/>
        <v>11.53</v>
      </c>
      <c r="J36" s="25" t="s">
        <v>212</v>
      </c>
      <c r="K36" s="26">
        <f t="shared" si="3"/>
        <v>-0.44235356221956224</v>
      </c>
      <c r="L36" s="26">
        <f t="shared" si="1"/>
        <v>-0.37996028664392867</v>
      </c>
      <c r="M36" s="26">
        <f t="shared" si="2"/>
        <v>-6.2393275575633567E-2</v>
      </c>
      <c r="O36" s="26"/>
    </row>
    <row r="37" spans="1:15" x14ac:dyDescent="0.25">
      <c r="A37" s="25" t="s">
        <v>213</v>
      </c>
      <c r="B37" s="44">
        <v>10.02</v>
      </c>
      <c r="C37" s="44">
        <v>10.9</v>
      </c>
      <c r="D37" s="26">
        <v>11.45</v>
      </c>
      <c r="E37" s="44"/>
      <c r="F37" s="61">
        <f>$B37 * VLOOKUP(2025, tblCPI[], MATCH(INDEX(tblCPI_Map[CPI Region], MATCH($A37, tblCPI_Map[Census Division and State], 0)), tblCPI[[#Headers],[West]:[National]], 0)+1, FALSE) /VLOOKUP(2019, tblCPI[], MATCH(INDEX(tblCPI_Map[CPI Region], MATCH($A37, tblCPI_Map[Census Division and State], 0)), tblCPI[[#Headers],[West]:[National]], 0)+1, FALSE)</f>
        <v>12.694495523115345</v>
      </c>
      <c r="G37" s="61">
        <f>$C37 * VLOOKUP(2025, tblCPI[], MATCH(INDEX(tblCPI_Map[CPI Region], MATCH($A37, tblCPI_Map[Census Division and State], 0)), tblCPI[[#Headers],[West]:[National]], 0)+1, FALSE) /VLOOKUP(2024, tblCPI[], MATCH(INDEX(tblCPI_Map[CPI Region], MATCH($A37, tblCPI_Map[Census Division and State], 0)), tblCPI[[#Headers],[West]:[National]], 0)+1, FALSE)</f>
        <v>11.143224645872859</v>
      </c>
      <c r="H37" s="26">
        <f t="shared" si="0"/>
        <v>11.45</v>
      </c>
      <c r="J37" s="25" t="s">
        <v>213</v>
      </c>
      <c r="K37" s="26">
        <f t="shared" si="3"/>
        <v>-1.2444955231153454</v>
      </c>
      <c r="L37" s="26">
        <f t="shared" si="1"/>
        <v>0.30677535412714008</v>
      </c>
      <c r="M37" s="26">
        <f t="shared" si="2"/>
        <v>-1.5512708772424855</v>
      </c>
      <c r="O37" s="26"/>
    </row>
    <row r="38" spans="1:15" x14ac:dyDescent="0.25">
      <c r="A38" s="25" t="s">
        <v>214</v>
      </c>
      <c r="B38" s="44">
        <v>9.52</v>
      </c>
      <c r="C38" s="44">
        <v>10.62</v>
      </c>
      <c r="D38" s="26">
        <v>11.41</v>
      </c>
      <c r="E38" s="44"/>
      <c r="F38" s="61">
        <f>$B38 * VLOOKUP(2025, tblCPI[], MATCH(INDEX(tblCPI_Map[CPI Region], MATCH($A38, tblCPI_Map[Census Division and State], 0)), tblCPI[[#Headers],[West]:[National]], 0)+1, FALSE) /VLOOKUP(2019, tblCPI[], MATCH(INDEX(tblCPI_Map[CPI Region], MATCH($A38, tblCPI_Map[Census Division and State], 0)), tblCPI[[#Headers],[West]:[National]], 0)+1, FALSE)</f>
        <v>12.061037662680446</v>
      </c>
      <c r="G38" s="61">
        <f>$C38 * VLOOKUP(2025, tblCPI[], MATCH(INDEX(tblCPI_Map[CPI Region], MATCH($A38, tblCPI_Map[Census Division and State], 0)), tblCPI[[#Headers],[West]:[National]], 0)+1, FALSE) /VLOOKUP(2024, tblCPI[], MATCH(INDEX(tblCPI_Map[CPI Region], MATCH($A38, tblCPI_Map[Census Division and State], 0)), tblCPI[[#Headers],[West]:[National]], 0)+1, FALSE)</f>
        <v>10.856976673318325</v>
      </c>
      <c r="H38" s="26">
        <f t="shared" si="0"/>
        <v>11.41</v>
      </c>
      <c r="J38" s="25" t="s">
        <v>214</v>
      </c>
      <c r="K38" s="26">
        <f t="shared" si="3"/>
        <v>-0.65103766268044616</v>
      </c>
      <c r="L38" s="26">
        <f t="shared" si="1"/>
        <v>0.55302332668167509</v>
      </c>
      <c r="M38" s="26">
        <f t="shared" si="2"/>
        <v>-1.2040609893621212</v>
      </c>
      <c r="O38" s="26"/>
    </row>
    <row r="39" spans="1:15" x14ac:dyDescent="0.25">
      <c r="A39" s="25" t="s">
        <v>215</v>
      </c>
      <c r="B39" s="44">
        <v>8.49</v>
      </c>
      <c r="C39" s="44">
        <v>11.05</v>
      </c>
      <c r="D39" s="26">
        <v>11.4</v>
      </c>
      <c r="E39" s="44"/>
      <c r="F39" s="61">
        <f>$B39 * VLOOKUP(2025, tblCPI[], MATCH(INDEX(tblCPI_Map[CPI Region], MATCH($A39, tblCPI_Map[Census Division and State], 0)), tblCPI[[#Headers],[West]:[National]], 0)+1, FALSE) /VLOOKUP(2019, tblCPI[], MATCH(INDEX(tblCPI_Map[CPI Region], MATCH($A39, tblCPI_Map[Census Division and State], 0)), tblCPI[[#Headers],[West]:[National]], 0)+1, FALSE)</f>
        <v>10.756114470184558</v>
      </c>
      <c r="G39" s="61">
        <f>$C39 * VLOOKUP(2025, tblCPI[], MATCH(INDEX(tblCPI_Map[CPI Region], MATCH($A39, tblCPI_Map[Census Division and State], 0)), tblCPI[[#Headers],[West]:[National]], 0)+1, FALSE) /VLOOKUP(2024, tblCPI[], MATCH(INDEX(tblCPI_Map[CPI Region], MATCH($A39, tblCPI_Map[Census Division and State], 0)), tblCPI[[#Headers],[West]:[National]], 0)+1, FALSE)</f>
        <v>11.296571774027072</v>
      </c>
      <c r="H39" s="26">
        <f t="shared" si="0"/>
        <v>11.4</v>
      </c>
      <c r="J39" s="25" t="s">
        <v>215</v>
      </c>
      <c r="K39" s="26">
        <f t="shared" si="3"/>
        <v>0.64388552981544223</v>
      </c>
      <c r="L39" s="26">
        <f t="shared" si="1"/>
        <v>0.10342822597292844</v>
      </c>
      <c r="M39" s="26">
        <f t="shared" si="2"/>
        <v>0.54045730384251378</v>
      </c>
      <c r="O39" s="26"/>
    </row>
    <row r="40" spans="1:15" x14ac:dyDescent="0.25">
      <c r="A40" s="60" t="s">
        <v>216</v>
      </c>
      <c r="B40" s="44">
        <v>9.4</v>
      </c>
      <c r="C40" s="44">
        <v>10.99</v>
      </c>
      <c r="D40" s="26">
        <v>11.62</v>
      </c>
      <c r="E40" s="44"/>
      <c r="F40" s="61">
        <f>$B40 * VLOOKUP(2025, tblCPI[], MATCH(INDEX(tblCPI_Map[CPI Region], MATCH($A40, tblCPI_Map[Census Division and State], 0)), tblCPI[[#Headers],[West]:[National]], 0)+1, FALSE) /VLOOKUP(2019, tblCPI[], MATCH(INDEX(tblCPI_Map[CPI Region], MATCH($A40, tblCPI_Map[Census Division and State], 0)), tblCPI[[#Headers],[West]:[National]], 0)+1, FALSE)</f>
        <v>11.909007776176074</v>
      </c>
      <c r="G40" s="61">
        <f>$C40 * VLOOKUP(2025, tblCPI[], MATCH(INDEX(tblCPI_Map[CPI Region], MATCH($A40, tblCPI_Map[Census Division and State], 0)), tblCPI[[#Headers],[West]:[National]], 0)+1, FALSE) /VLOOKUP(2024, tblCPI[], MATCH(INDEX(tblCPI_Map[CPI Region], MATCH($A40, tblCPI_Map[Census Division and State], 0)), tblCPI[[#Headers],[West]:[National]], 0)+1, FALSE)</f>
        <v>11.235232922765388</v>
      </c>
      <c r="H40" s="26">
        <f t="shared" si="0"/>
        <v>11.62</v>
      </c>
      <c r="J40" s="60" t="s">
        <v>216</v>
      </c>
      <c r="K40" s="26">
        <f t="shared" si="3"/>
        <v>-0.28900777617607432</v>
      </c>
      <c r="L40" s="26">
        <f t="shared" si="1"/>
        <v>0.38476707723461168</v>
      </c>
      <c r="M40" s="26">
        <f t="shared" si="2"/>
        <v>-0.67377485341068599</v>
      </c>
      <c r="O40" s="26"/>
    </row>
    <row r="41" spans="1:15" x14ac:dyDescent="0.25">
      <c r="A41" s="25" t="s">
        <v>217</v>
      </c>
      <c r="B41" s="44">
        <v>9.83</v>
      </c>
      <c r="C41" s="44">
        <v>11.9</v>
      </c>
      <c r="D41" s="26">
        <v>12.62</v>
      </c>
      <c r="E41" s="44"/>
      <c r="F41" s="61">
        <f>$B41 * VLOOKUP(2025, tblCPI[], MATCH(INDEX(tblCPI_Map[CPI Region], MATCH($A41, tblCPI_Map[Census Division and State], 0)), tblCPI[[#Headers],[West]:[National]], 0)+1, FALSE) /VLOOKUP(2019, tblCPI[], MATCH(INDEX(tblCPI_Map[CPI Region], MATCH($A41, tblCPI_Map[Census Division and State], 0)), tblCPI[[#Headers],[West]:[National]], 0)+1, FALSE)</f>
        <v>12.453781536150084</v>
      </c>
      <c r="G41" s="61">
        <f>$C41 * VLOOKUP(2025, tblCPI[], MATCH(INDEX(tblCPI_Map[CPI Region], MATCH($A41, tblCPI_Map[Census Division and State], 0)), tblCPI[[#Headers],[West]:[National]], 0)+1, FALSE) /VLOOKUP(2024, tblCPI[], MATCH(INDEX(tblCPI_Map[CPI Region], MATCH($A41, tblCPI_Map[Census Division and State], 0)), tblCPI[[#Headers],[West]:[National]], 0)+1, FALSE)</f>
        <v>12.165538833567616</v>
      </c>
      <c r="H41" s="26">
        <f t="shared" si="0"/>
        <v>12.62</v>
      </c>
      <c r="J41" s="25" t="s">
        <v>217</v>
      </c>
      <c r="K41" s="26">
        <f t="shared" si="3"/>
        <v>0.16621846384991557</v>
      </c>
      <c r="L41" s="26">
        <f t="shared" si="1"/>
        <v>0.45446116643238277</v>
      </c>
      <c r="M41" s="26">
        <f t="shared" si="2"/>
        <v>-0.2882427025824672</v>
      </c>
      <c r="O41" s="26"/>
    </row>
    <row r="42" spans="1:15" x14ac:dyDescent="0.25">
      <c r="A42" s="25" t="s">
        <v>218</v>
      </c>
      <c r="B42" s="44">
        <v>8.61</v>
      </c>
      <c r="C42" s="44">
        <v>10.07</v>
      </c>
      <c r="D42" s="26">
        <v>10.55</v>
      </c>
      <c r="E42" s="44"/>
      <c r="F42" s="61">
        <f>$B42 * VLOOKUP(2025, tblCPI[], MATCH(INDEX(tblCPI_Map[CPI Region], MATCH($A42, tblCPI_Map[Census Division and State], 0)), tblCPI[[#Headers],[West]:[National]], 0)+1, FALSE) /VLOOKUP(2019, tblCPI[], MATCH(INDEX(tblCPI_Map[CPI Region], MATCH($A42, tblCPI_Map[Census Division and State], 0)), tblCPI[[#Headers],[West]:[National]], 0)+1, FALSE)</f>
        <v>10.908144356688934</v>
      </c>
      <c r="G42" s="61">
        <f>$C42 * VLOOKUP(2025, tblCPI[], MATCH(INDEX(tblCPI_Map[CPI Region], MATCH($A42, tblCPI_Map[Census Division and State], 0)), tblCPI[[#Headers],[West]:[National]], 0)+1, FALSE) /VLOOKUP(2024, tblCPI[], MATCH(INDEX(tblCPI_Map[CPI Region], MATCH($A42, tblCPI_Map[Census Division and State], 0)), tblCPI[[#Headers],[West]:[National]], 0)+1, FALSE)</f>
        <v>10.294703870086209</v>
      </c>
      <c r="H42" s="26">
        <f t="shared" si="0"/>
        <v>10.55</v>
      </c>
      <c r="J42" s="25" t="s">
        <v>218</v>
      </c>
      <c r="K42" s="26">
        <f t="shared" si="3"/>
        <v>-0.35814435668893374</v>
      </c>
      <c r="L42" s="26">
        <f t="shared" si="1"/>
        <v>0.25529612991379125</v>
      </c>
      <c r="M42" s="26">
        <f t="shared" si="2"/>
        <v>-0.61344048660272499</v>
      </c>
      <c r="O42" s="26"/>
    </row>
    <row r="43" spans="1:15" x14ac:dyDescent="0.25">
      <c r="A43" s="25" t="s">
        <v>219</v>
      </c>
      <c r="B43" s="44">
        <v>9.2799999999999994</v>
      </c>
      <c r="C43" s="44">
        <v>10.93</v>
      </c>
      <c r="D43" s="26">
        <v>11.57</v>
      </c>
      <c r="E43" s="44"/>
      <c r="F43" s="61">
        <f>$B43 * VLOOKUP(2025, tblCPI[], MATCH(INDEX(tblCPI_Map[CPI Region], MATCH($A43, tblCPI_Map[Census Division and State], 0)), tblCPI[[#Headers],[West]:[National]], 0)+1, FALSE) /VLOOKUP(2019, tblCPI[], MATCH(INDEX(tblCPI_Map[CPI Region], MATCH($A43, tblCPI_Map[Census Division and State], 0)), tblCPI[[#Headers],[West]:[National]], 0)+1, FALSE)</f>
        <v>11.756977889671695</v>
      </c>
      <c r="G43" s="61">
        <f>$C43 * VLOOKUP(2025, tblCPI[], MATCH(INDEX(tblCPI_Map[CPI Region], MATCH($A43, tblCPI_Map[Census Division and State], 0)), tblCPI[[#Headers],[West]:[National]], 0)+1, FALSE) /VLOOKUP(2024, tblCPI[], MATCH(INDEX(tblCPI_Map[CPI Region], MATCH($A43, tblCPI_Map[Census Division and State], 0)), tblCPI[[#Headers],[West]:[National]], 0)+1, FALSE)</f>
        <v>11.173894071503701</v>
      </c>
      <c r="H43" s="26">
        <f t="shared" si="0"/>
        <v>11.57</v>
      </c>
      <c r="J43" s="25" t="s">
        <v>219</v>
      </c>
      <c r="K43" s="26">
        <f t="shared" si="3"/>
        <v>-0.18697788967169515</v>
      </c>
      <c r="L43" s="26">
        <f t="shared" si="1"/>
        <v>0.39610592849629889</v>
      </c>
      <c r="M43" s="26">
        <f t="shared" si="2"/>
        <v>-0.58308381816799404</v>
      </c>
      <c r="O43" s="26"/>
    </row>
    <row r="44" spans="1:15" x14ac:dyDescent="0.25">
      <c r="A44" s="25" t="s">
        <v>220</v>
      </c>
      <c r="B44" s="44">
        <v>9.69</v>
      </c>
      <c r="C44" s="44">
        <v>10.9</v>
      </c>
      <c r="D44" s="26">
        <v>11.57</v>
      </c>
      <c r="E44" s="44"/>
      <c r="F44" s="61">
        <f>$B44 * VLOOKUP(2025, tblCPI[], MATCH(INDEX(tblCPI_Map[CPI Region], MATCH($A44, tblCPI_Map[Census Division and State], 0)), tblCPI[[#Headers],[West]:[National]], 0)+1, FALSE) /VLOOKUP(2019, tblCPI[], MATCH(INDEX(tblCPI_Map[CPI Region], MATCH($A44, tblCPI_Map[Census Division and State], 0)), tblCPI[[#Headers],[West]:[National]], 0)+1, FALSE)</f>
        <v>12.276413335228312</v>
      </c>
      <c r="G44" s="61">
        <f>$C44 * VLOOKUP(2025, tblCPI[], MATCH(INDEX(tblCPI_Map[CPI Region], MATCH($A44, tblCPI_Map[Census Division and State], 0)), tblCPI[[#Headers],[West]:[National]], 0)+1, FALSE) /VLOOKUP(2024, tblCPI[], MATCH(INDEX(tblCPI_Map[CPI Region], MATCH($A44, tblCPI_Map[Census Division and State], 0)), tblCPI[[#Headers],[West]:[National]], 0)+1, FALSE)</f>
        <v>11.143224645872859</v>
      </c>
      <c r="H44" s="26">
        <f t="shared" si="0"/>
        <v>11.57</v>
      </c>
      <c r="J44" s="25" t="s">
        <v>220</v>
      </c>
      <c r="K44" s="26">
        <f t="shared" si="3"/>
        <v>-0.70641333522831218</v>
      </c>
      <c r="L44" s="26">
        <f t="shared" si="1"/>
        <v>0.42677535412714107</v>
      </c>
      <c r="M44" s="26">
        <f t="shared" si="2"/>
        <v>-1.1331886893554532</v>
      </c>
      <c r="O44" s="26"/>
    </row>
    <row r="45" spans="1:15" x14ac:dyDescent="0.25">
      <c r="A45" s="60" t="s">
        <v>221</v>
      </c>
      <c r="B45" s="44">
        <v>8.36</v>
      </c>
      <c r="C45" s="44">
        <v>9.58</v>
      </c>
      <c r="D45" s="26">
        <v>10</v>
      </c>
      <c r="E45" s="44"/>
      <c r="F45" s="61">
        <f>$B45 * VLOOKUP(2025, tblCPI[], MATCH(INDEX(tblCPI_Map[CPI Region], MATCH($A45, tblCPI_Map[Census Division and State], 0)), tblCPI[[#Headers],[West]:[National]], 0)+1, FALSE) /VLOOKUP(2019, tblCPI[], MATCH(INDEX(tblCPI_Map[CPI Region], MATCH($A45, tblCPI_Map[Census Division and State], 0)), tblCPI[[#Headers],[West]:[National]], 0)+1, FALSE)</f>
        <v>10.591415426471483</v>
      </c>
      <c r="G45" s="61">
        <f>$C45 * VLOOKUP(2025, tblCPI[], MATCH(INDEX(tblCPI_Map[CPI Region], MATCH($A45, tblCPI_Map[Census Division and State], 0)), tblCPI[[#Headers],[West]:[National]], 0)+1, FALSE) /VLOOKUP(2024, tblCPI[], MATCH(INDEX(tblCPI_Map[CPI Region], MATCH($A45, tblCPI_Map[Census Division and State], 0)), tblCPI[[#Headers],[West]:[National]], 0)+1, FALSE)</f>
        <v>9.7937699181157782</v>
      </c>
      <c r="H45" s="26">
        <f t="shared" si="0"/>
        <v>10</v>
      </c>
      <c r="J45" s="60" t="s">
        <v>221</v>
      </c>
      <c r="K45" s="26">
        <f t="shared" si="3"/>
        <v>-0.59141542647148349</v>
      </c>
      <c r="L45" s="26">
        <f t="shared" si="1"/>
        <v>0.20623008188422176</v>
      </c>
      <c r="M45" s="26">
        <f t="shared" si="2"/>
        <v>-0.79764550835570525</v>
      </c>
      <c r="O45" s="26"/>
    </row>
    <row r="46" spans="1:15" x14ac:dyDescent="0.25">
      <c r="A46" s="25" t="s">
        <v>222</v>
      </c>
      <c r="B46" s="44">
        <v>8.2200000000000006</v>
      </c>
      <c r="C46" s="44">
        <v>9.59</v>
      </c>
      <c r="D46" s="26">
        <v>9.84</v>
      </c>
      <c r="E46" s="44"/>
      <c r="F46" s="61">
        <f>$B46 * VLOOKUP(2025, tblCPI[], MATCH(INDEX(tblCPI_Map[CPI Region], MATCH($A46, tblCPI_Map[Census Division and State], 0)), tblCPI[[#Headers],[West]:[National]], 0)+1, FALSE) /VLOOKUP(2019, tblCPI[], MATCH(INDEX(tblCPI_Map[CPI Region], MATCH($A46, tblCPI_Map[Census Division and State], 0)), tblCPI[[#Headers],[West]:[National]], 0)+1, FALSE)</f>
        <v>10.414047225549714</v>
      </c>
      <c r="G46" s="61">
        <f>$C46 * VLOOKUP(2025, tblCPI[], MATCH(INDEX(tblCPI_Map[CPI Region], MATCH($A46, tblCPI_Map[Census Division and State], 0)), tblCPI[[#Headers],[West]:[National]], 0)+1, FALSE) /VLOOKUP(2024, tblCPI[], MATCH(INDEX(tblCPI_Map[CPI Region], MATCH($A46, tblCPI_Map[Census Division and State], 0)), tblCPI[[#Headers],[West]:[National]], 0)+1, FALSE)</f>
        <v>9.8039930599927256</v>
      </c>
      <c r="H46" s="26">
        <f t="shared" si="0"/>
        <v>9.84</v>
      </c>
      <c r="J46" s="25" t="s">
        <v>222</v>
      </c>
      <c r="K46" s="26">
        <f t="shared" si="3"/>
        <v>-0.57404722554971421</v>
      </c>
      <c r="L46" s="26">
        <f t="shared" si="1"/>
        <v>3.6006940007274224E-2</v>
      </c>
      <c r="M46" s="26">
        <f t="shared" si="2"/>
        <v>-0.61005416555698844</v>
      </c>
      <c r="O46" s="26"/>
    </row>
    <row r="47" spans="1:15" x14ac:dyDescent="0.25">
      <c r="A47" s="25" t="s">
        <v>223</v>
      </c>
      <c r="B47" s="44">
        <v>7.71</v>
      </c>
      <c r="C47" s="44">
        <v>8.8000000000000007</v>
      </c>
      <c r="D47" s="26">
        <v>9.5</v>
      </c>
      <c r="E47" s="44"/>
      <c r="F47" s="61">
        <f>$B47 * VLOOKUP(2025, tblCPI[], MATCH(INDEX(tblCPI_Map[CPI Region], MATCH($A47, tblCPI_Map[Census Division and State], 0)), tblCPI[[#Headers],[West]:[National]], 0)+1, FALSE) /VLOOKUP(2019, tblCPI[], MATCH(INDEX(tblCPI_Map[CPI Region], MATCH($A47, tblCPI_Map[Census Division and State], 0)), tblCPI[[#Headers],[West]:[National]], 0)+1, FALSE)</f>
        <v>9.7679202079061174</v>
      </c>
      <c r="G47" s="61">
        <f>$C47 * VLOOKUP(2025, tblCPI[], MATCH(INDEX(tblCPI_Map[CPI Region], MATCH($A47, tblCPI_Map[Census Division and State], 0)), tblCPI[[#Headers],[West]:[National]], 0)+1, FALSE) /VLOOKUP(2024, tblCPI[], MATCH(INDEX(tblCPI_Map[CPI Region], MATCH($A47, tblCPI_Map[Census Division and State], 0)), tblCPI[[#Headers],[West]:[National]], 0)+1, FALSE)</f>
        <v>8.9963648517138672</v>
      </c>
      <c r="H47" s="26">
        <f t="shared" si="0"/>
        <v>9.5</v>
      </c>
      <c r="J47" s="25" t="s">
        <v>223</v>
      </c>
      <c r="K47" s="26">
        <f t="shared" si="3"/>
        <v>-0.26792020790611737</v>
      </c>
      <c r="L47" s="26">
        <f t="shared" si="1"/>
        <v>0.50363514828613276</v>
      </c>
      <c r="M47" s="26">
        <f t="shared" si="2"/>
        <v>-0.77155535619225013</v>
      </c>
      <c r="O47" s="26"/>
    </row>
    <row r="48" spans="1:15" x14ac:dyDescent="0.25">
      <c r="A48" s="25" t="s">
        <v>224</v>
      </c>
      <c r="B48" s="44">
        <v>7.86</v>
      </c>
      <c r="C48" s="44">
        <v>9.09</v>
      </c>
      <c r="D48" s="26">
        <v>9.5</v>
      </c>
      <c r="E48" s="44"/>
      <c r="F48" s="61">
        <f>$B48 * VLOOKUP(2025, tblCPI[], MATCH(INDEX(tblCPI_Map[CPI Region], MATCH($A48, tblCPI_Map[Census Division and State], 0)), tblCPI[[#Headers],[West]:[National]], 0)+1, FALSE) /VLOOKUP(2019, tblCPI[], MATCH(INDEX(tblCPI_Map[CPI Region], MATCH($A48, tblCPI_Map[Census Division and State], 0)), tblCPI[[#Headers],[West]:[National]], 0)+1, FALSE)</f>
        <v>9.9579575660365869</v>
      </c>
      <c r="G48" s="61">
        <f>$C48 * VLOOKUP(2025, tblCPI[], MATCH(INDEX(tblCPI_Map[CPI Region], MATCH($A48, tblCPI_Map[Census Division and State], 0)), tblCPI[[#Headers],[West]:[National]], 0)+1, FALSE) /VLOOKUP(2024, tblCPI[], MATCH(INDEX(tblCPI_Map[CPI Region], MATCH($A48, tblCPI_Map[Census Division and State], 0)), tblCPI[[#Headers],[West]:[National]], 0)+1, FALSE)</f>
        <v>9.292835966145347</v>
      </c>
      <c r="H48" s="26">
        <f t="shared" si="0"/>
        <v>9.5</v>
      </c>
      <c r="J48" s="25" t="s">
        <v>224</v>
      </c>
      <c r="K48" s="26">
        <f t="shared" si="3"/>
        <v>-0.45795756603658688</v>
      </c>
      <c r="L48" s="26">
        <f t="shared" si="1"/>
        <v>0.20716403385465298</v>
      </c>
      <c r="M48" s="26">
        <f t="shared" si="2"/>
        <v>-0.66512159989123987</v>
      </c>
      <c r="O48" s="26"/>
    </row>
    <row r="49" spans="1:15" x14ac:dyDescent="0.25">
      <c r="A49" s="25" t="s">
        <v>225</v>
      </c>
      <c r="B49" s="44">
        <v>8.6</v>
      </c>
      <c r="C49" s="44">
        <v>9.7899999999999991</v>
      </c>
      <c r="D49" s="26">
        <v>10.18</v>
      </c>
      <c r="E49" s="44"/>
      <c r="F49" s="61">
        <f>$B49 * VLOOKUP(2025, tblCPI[], MATCH(INDEX(tblCPI_Map[CPI Region], MATCH($A49, tblCPI_Map[Census Division and State], 0)), tblCPI[[#Headers],[West]:[National]], 0)+1, FALSE) /VLOOKUP(2019, tblCPI[], MATCH(INDEX(tblCPI_Map[CPI Region], MATCH($A49, tblCPI_Map[Census Division and State], 0)), tblCPI[[#Headers],[West]:[National]], 0)+1, FALSE)</f>
        <v>10.895475199480234</v>
      </c>
      <c r="G49" s="61">
        <f>$C49 * VLOOKUP(2025, tblCPI[], MATCH(INDEX(tblCPI_Map[CPI Region], MATCH($A49, tblCPI_Map[Census Division and State], 0)), tblCPI[[#Headers],[West]:[National]], 0)+1, FALSE) /VLOOKUP(2024, tblCPI[], MATCH(INDEX(tblCPI_Map[CPI Region], MATCH($A49, tblCPI_Map[Census Division and State], 0)), tblCPI[[#Headers],[West]:[National]], 0)+1, FALSE)</f>
        <v>10.008455897531677</v>
      </c>
      <c r="H49" s="26">
        <f t="shared" si="0"/>
        <v>10.18</v>
      </c>
      <c r="J49" s="25" t="s">
        <v>225</v>
      </c>
      <c r="K49" s="26">
        <f t="shared" si="3"/>
        <v>-0.71547519948023464</v>
      </c>
      <c r="L49" s="26">
        <f t="shared" si="1"/>
        <v>0.17154410246832263</v>
      </c>
      <c r="M49" s="26">
        <f t="shared" si="2"/>
        <v>-0.88701930194855727</v>
      </c>
      <c r="O49" s="26"/>
    </row>
    <row r="50" spans="1:15" x14ac:dyDescent="0.25">
      <c r="A50" s="60" t="s">
        <v>226</v>
      </c>
      <c r="B50" s="44">
        <v>9.39</v>
      </c>
      <c r="C50" s="44">
        <v>11.23</v>
      </c>
      <c r="D50" s="26">
        <v>11.44</v>
      </c>
      <c r="E50" s="44"/>
      <c r="F50" s="61">
        <f>$B50 * VLOOKUP(2025, tblCPI[], MATCH(INDEX(tblCPI_Map[CPI Region], MATCH($A50, tblCPI_Map[Census Division and State], 0)), tblCPI[[#Headers],[West]:[National]], 0)+1, FALSE) /VLOOKUP(2019, tblCPI[], MATCH(INDEX(tblCPI_Map[CPI Region], MATCH($A50, tblCPI_Map[Census Division and State], 0)), tblCPI[[#Headers],[West]:[National]], 0)+1, FALSE)</f>
        <v>11.873391899389681</v>
      </c>
      <c r="G50" s="61">
        <f>$C50 * VLOOKUP(2025, tblCPI[], MATCH(INDEX(tblCPI_Map[CPI Region], MATCH($A50, tblCPI_Map[Census Division and State], 0)), tblCPI[[#Headers],[West]:[National]], 0)+1, FALSE) /VLOOKUP(2024, tblCPI[], MATCH(INDEX(tblCPI_Map[CPI Region], MATCH($A50, tblCPI_Map[Census Division and State], 0)), tblCPI[[#Headers],[West]:[National]], 0)+1, FALSE)</f>
        <v>11.530359368664495</v>
      </c>
      <c r="H50" s="26">
        <f t="shared" si="0"/>
        <v>11.44</v>
      </c>
      <c r="J50" s="60" t="s">
        <v>226</v>
      </c>
      <c r="K50" s="26">
        <f t="shared" si="3"/>
        <v>-0.43339189938968126</v>
      </c>
      <c r="L50" s="26">
        <f t="shared" si="1"/>
        <v>-9.0359368664495676E-2</v>
      </c>
      <c r="M50" s="26">
        <f t="shared" si="2"/>
        <v>-0.34303253072518558</v>
      </c>
      <c r="O50" s="26"/>
    </row>
    <row r="51" spans="1:15" x14ac:dyDescent="0.25">
      <c r="A51" s="25" t="s">
        <v>227</v>
      </c>
      <c r="B51" s="44">
        <v>10.52</v>
      </c>
      <c r="C51" s="44">
        <v>12.74</v>
      </c>
      <c r="D51" s="26">
        <v>12.97</v>
      </c>
      <c r="E51" s="44"/>
      <c r="F51" s="61">
        <f>$B51 * VLOOKUP(2025, tblCPI[], MATCH(INDEX(tblCPI_Map[CPI Region], MATCH($A51, tblCPI_Map[Census Division and State], 0)), tblCPI[[#Headers],[West]:[National]], 0)+1, FALSE) /VLOOKUP(2019, tblCPI[], MATCH(INDEX(tblCPI_Map[CPI Region], MATCH($A51, tblCPI_Map[Census Division and State], 0)), tblCPI[[#Headers],[West]:[National]], 0)+1, FALSE)</f>
        <v>13.302245237654891</v>
      </c>
      <c r="G51" s="61">
        <f>$C51 * VLOOKUP(2025, tblCPI[], MATCH(INDEX(tblCPI_Map[CPI Region], MATCH($A51, tblCPI_Map[Census Division and State], 0)), tblCPI[[#Headers],[West]:[National]], 0)+1, FALSE) /VLOOKUP(2024, tblCPI[], MATCH(INDEX(tblCPI_Map[CPI Region], MATCH($A51, tblCPI_Map[Census Division and State], 0)), tblCPI[[#Headers],[West]:[National]], 0)+1, FALSE)</f>
        <v>13.080746069170587</v>
      </c>
      <c r="H51" s="26">
        <f t="shared" si="0"/>
        <v>12.97</v>
      </c>
      <c r="J51" s="25" t="s">
        <v>227</v>
      </c>
      <c r="K51" s="26">
        <f t="shared" si="3"/>
        <v>-0.33224523765488989</v>
      </c>
      <c r="L51" s="26">
        <f t="shared" si="1"/>
        <v>-0.11074606917058638</v>
      </c>
      <c r="M51" s="26">
        <f t="shared" si="2"/>
        <v>-0.22149916848430351</v>
      </c>
      <c r="O51" s="26"/>
    </row>
    <row r="52" spans="1:15" x14ac:dyDescent="0.25">
      <c r="A52" s="25" t="s">
        <v>228</v>
      </c>
      <c r="B52" s="44">
        <v>10.17</v>
      </c>
      <c r="C52" s="44">
        <v>12.07</v>
      </c>
      <c r="D52" s="26">
        <v>12.77</v>
      </c>
      <c r="E52" s="44"/>
      <c r="F52" s="61">
        <f>$B52 * VLOOKUP(2025, tblCPI[], MATCH(INDEX(tblCPI_Map[CPI Region], MATCH($A52, tblCPI_Map[Census Division and State], 0)), tblCPI[[#Headers],[West]:[National]], 0)+1, FALSE) /VLOOKUP(2019, tblCPI[], MATCH(INDEX(tblCPI_Map[CPI Region], MATCH($A52, tblCPI_Map[Census Division and State], 0)), tblCPI[[#Headers],[West]:[National]], 0)+1, FALSE)</f>
        <v>12.859680044386906</v>
      </c>
      <c r="G52" s="61">
        <f>$C52 * VLOOKUP(2025, tblCPI[], MATCH(INDEX(tblCPI_Map[CPI Region], MATCH($A52, tblCPI_Map[Census Division and State], 0)), tblCPI[[#Headers],[West]:[National]], 0)+1, FALSE) /VLOOKUP(2024, tblCPI[], MATCH(INDEX(tblCPI_Map[CPI Region], MATCH($A52, tblCPI_Map[Census Division and State], 0)), tblCPI[[#Headers],[West]:[National]], 0)+1, FALSE)</f>
        <v>12.392826142455961</v>
      </c>
      <c r="H52" s="26">
        <f t="shared" si="0"/>
        <v>12.77</v>
      </c>
      <c r="J52" s="25" t="s">
        <v>228</v>
      </c>
      <c r="K52" s="26">
        <f t="shared" si="3"/>
        <v>-8.9680044386906133E-2</v>
      </c>
      <c r="L52" s="26">
        <f t="shared" si="1"/>
        <v>0.37717385754403843</v>
      </c>
      <c r="M52" s="26">
        <f t="shared" si="2"/>
        <v>-0.46685390193094456</v>
      </c>
      <c r="O52" s="26"/>
    </row>
    <row r="53" spans="1:15" x14ac:dyDescent="0.25">
      <c r="A53" s="25" t="s">
        <v>229</v>
      </c>
      <c r="B53" s="44">
        <v>7.89</v>
      </c>
      <c r="C53" s="44">
        <v>9.51</v>
      </c>
      <c r="D53" s="26">
        <v>9.74</v>
      </c>
      <c r="E53" s="44"/>
      <c r="F53" s="61">
        <f>$B53 * VLOOKUP(2025, tblCPI[], MATCH(INDEX(tblCPI_Map[CPI Region], MATCH($A53, tblCPI_Map[Census Division and State], 0)), tblCPI[[#Headers],[West]:[National]], 0)+1, FALSE) /VLOOKUP(2019, tblCPI[], MATCH(INDEX(tblCPI_Map[CPI Region], MATCH($A53, tblCPI_Map[Census Division and State], 0)), tblCPI[[#Headers],[West]:[National]], 0)+1, FALSE)</f>
        <v>9.9766839282411688</v>
      </c>
      <c r="G53" s="61">
        <f>$C53 * VLOOKUP(2025, tblCPI[], MATCH(INDEX(tblCPI_Map[CPI Region], MATCH($A53, tblCPI_Map[Census Division and State], 0)), tblCPI[[#Headers],[West]:[National]], 0)+1, FALSE) /VLOOKUP(2024, tblCPI[], MATCH(INDEX(tblCPI_Map[CPI Region], MATCH($A53, tblCPI_Map[Census Division and State], 0)), tblCPI[[#Headers],[West]:[National]], 0)+1, FALSE)</f>
        <v>9.7643559747105382</v>
      </c>
      <c r="H53" s="26">
        <f t="shared" si="0"/>
        <v>9.74</v>
      </c>
      <c r="J53" s="25" t="s">
        <v>229</v>
      </c>
      <c r="K53" s="26">
        <f t="shared" si="3"/>
        <v>-0.23668392824116857</v>
      </c>
      <c r="L53" s="26">
        <f t="shared" si="1"/>
        <v>-2.4355974710537964E-2</v>
      </c>
      <c r="M53" s="26">
        <f t="shared" si="2"/>
        <v>-0.21232795353063061</v>
      </c>
      <c r="O53" s="26"/>
    </row>
    <row r="54" spans="1:15" x14ac:dyDescent="0.25">
      <c r="A54" s="25" t="s">
        <v>230</v>
      </c>
      <c r="B54" s="44">
        <v>9.02</v>
      </c>
      <c r="C54" s="44">
        <v>10.83</v>
      </c>
      <c r="D54" s="26">
        <v>10.9</v>
      </c>
      <c r="E54" s="44"/>
      <c r="F54" s="61">
        <f>$B54 * VLOOKUP(2025, tblCPI[], MATCH(INDEX(tblCPI_Map[CPI Region], MATCH($A54, tblCPI_Map[Census Division and State], 0)), tblCPI[[#Headers],[West]:[National]], 0)+1, FALSE) /VLOOKUP(2019, tblCPI[], MATCH(INDEX(tblCPI_Map[CPI Region], MATCH($A54, tblCPI_Map[Census Division and State], 0)), tblCPI[[#Headers],[West]:[National]], 0)+1, FALSE)</f>
        <v>11.40553726650638</v>
      </c>
      <c r="G54" s="61">
        <f>$C54 * VLOOKUP(2025, tblCPI[], MATCH(INDEX(tblCPI_Map[CPI Region], MATCH($A54, tblCPI_Map[Census Division and State], 0)), tblCPI[[#Headers],[West]:[National]], 0)+1, FALSE) /VLOOKUP(2024, tblCPI[], MATCH(INDEX(tblCPI_Map[CPI Region], MATCH($A54, tblCPI_Map[Census Division and State], 0)), tblCPI[[#Headers],[West]:[National]], 0)+1, FALSE)</f>
        <v>11.119660904954273</v>
      </c>
      <c r="H54" s="26">
        <f t="shared" si="0"/>
        <v>10.9</v>
      </c>
      <c r="J54" s="25" t="s">
        <v>230</v>
      </c>
      <c r="K54" s="26">
        <f t="shared" si="3"/>
        <v>-0.50553726650637998</v>
      </c>
      <c r="L54" s="26">
        <f t="shared" si="1"/>
        <v>-0.2196609049542726</v>
      </c>
      <c r="M54" s="26">
        <f t="shared" si="2"/>
        <v>-0.28587636155210738</v>
      </c>
      <c r="O54" s="26"/>
    </row>
    <row r="55" spans="1:15" x14ac:dyDescent="0.25">
      <c r="A55" s="25" t="s">
        <v>231</v>
      </c>
      <c r="B55" s="44">
        <v>8.7799999999999994</v>
      </c>
      <c r="C55" s="44">
        <v>11.47</v>
      </c>
      <c r="D55" s="26">
        <v>10.31</v>
      </c>
      <c r="E55" s="44"/>
      <c r="F55" s="61">
        <f>$B55 * VLOOKUP(2025, tblCPI[], MATCH(INDEX(tblCPI_Map[CPI Region], MATCH($A55, tblCPI_Map[Census Division and State], 0)), tblCPI[[#Headers],[West]:[National]], 0)+1, FALSE) /VLOOKUP(2019, tblCPI[], MATCH(INDEX(tblCPI_Map[CPI Region], MATCH($A55, tblCPI_Map[Census Division and State], 0)), tblCPI[[#Headers],[West]:[National]], 0)+1, FALSE)</f>
        <v>11.102063991122616</v>
      </c>
      <c r="G55" s="61">
        <f>$C55 * VLOOKUP(2025, tblCPI[], MATCH(INDEX(tblCPI_Map[CPI Region], MATCH($A55, tblCPI_Map[Census Division and State], 0)), tblCPI[[#Headers],[West]:[National]], 0)+1, FALSE) /VLOOKUP(2024, tblCPI[], MATCH(INDEX(tblCPI_Map[CPI Region], MATCH($A55, tblCPI_Map[Census Division and State], 0)), tblCPI[[#Headers],[West]:[National]], 0)+1, FALSE)</f>
        <v>11.77677844689063</v>
      </c>
      <c r="H55" s="26">
        <f t="shared" si="0"/>
        <v>10.31</v>
      </c>
      <c r="J55" s="25" t="s">
        <v>231</v>
      </c>
      <c r="K55" s="26">
        <f t="shared" si="3"/>
        <v>-0.79206399112261572</v>
      </c>
      <c r="L55" s="26">
        <f t="shared" si="1"/>
        <v>-1.4667784468906291</v>
      </c>
      <c r="M55" s="26">
        <f t="shared" si="2"/>
        <v>0.67471445576801337</v>
      </c>
      <c r="O55" s="26"/>
    </row>
    <row r="56" spans="1:15" x14ac:dyDescent="0.25">
      <c r="A56" s="25" t="s">
        <v>232</v>
      </c>
      <c r="B56" s="44">
        <v>8.99</v>
      </c>
      <c r="C56" s="44">
        <v>9.18</v>
      </c>
      <c r="D56" s="26">
        <v>9.56</v>
      </c>
      <c r="E56" s="44"/>
      <c r="F56" s="61">
        <f>$B56 * VLOOKUP(2025, tblCPI[], MATCH(INDEX(tblCPI_Map[CPI Region], MATCH($A56, tblCPI_Map[Census Division and State], 0)), tblCPI[[#Headers],[West]:[National]], 0)+1, FALSE) /VLOOKUP(2019, tblCPI[], MATCH(INDEX(tblCPI_Map[CPI Region], MATCH($A56, tblCPI_Map[Census Division and State], 0)), tblCPI[[#Headers],[West]:[National]], 0)+1, FALSE)</f>
        <v>11.367603107083411</v>
      </c>
      <c r="G56" s="61">
        <f>$C56 * VLOOKUP(2025, tblCPI[], MATCH(INDEX(tblCPI_Map[CPI Region], MATCH($A56, tblCPI_Map[Census Division and State], 0)), tblCPI[[#Headers],[West]:[National]], 0)+1, FALSE) /VLOOKUP(2024, tblCPI[], MATCH(INDEX(tblCPI_Map[CPI Region], MATCH($A56, tblCPI_Map[Census Division and State], 0)), tblCPI[[#Headers],[West]:[National]], 0)+1, FALSE)</f>
        <v>9.4255297421496049</v>
      </c>
      <c r="H56" s="26">
        <f t="shared" si="0"/>
        <v>9.56</v>
      </c>
      <c r="J56" s="25" t="s">
        <v>232</v>
      </c>
      <c r="K56" s="26">
        <f t="shared" si="3"/>
        <v>-1.8076031070834109</v>
      </c>
      <c r="L56" s="26">
        <f t="shared" si="1"/>
        <v>0.13447025785039557</v>
      </c>
      <c r="M56" s="26">
        <f t="shared" si="2"/>
        <v>-1.9420733649338064</v>
      </c>
      <c r="O56" s="26"/>
    </row>
    <row r="57" spans="1:15" x14ac:dyDescent="0.25">
      <c r="A57" s="25" t="s">
        <v>233</v>
      </c>
      <c r="B57" s="44">
        <v>8.24</v>
      </c>
      <c r="C57" s="44">
        <v>9.9700000000000006</v>
      </c>
      <c r="D57" s="26">
        <v>10.67</v>
      </c>
      <c r="E57" s="44"/>
      <c r="F57" s="61">
        <f>$B57 * VLOOKUP(2025, tblCPI[], MATCH(INDEX(tblCPI_Map[CPI Region], MATCH($A57, tblCPI_Map[Census Division and State], 0)), tblCPI[[#Headers],[West]:[National]], 0)+1, FALSE) /VLOOKUP(2019, tblCPI[], MATCH(INDEX(tblCPI_Map[CPI Region], MATCH($A57, tblCPI_Map[Census Division and State], 0)), tblCPI[[#Headers],[West]:[National]], 0)+1, FALSE)</f>
        <v>10.419249121509154</v>
      </c>
      <c r="G57" s="61">
        <f>$C57 * VLOOKUP(2025, tblCPI[], MATCH(INDEX(tblCPI_Map[CPI Region], MATCH($A57, tblCPI_Map[Census Division and State], 0)), tblCPI[[#Headers],[West]:[National]], 0)+1, FALSE) /VLOOKUP(2024, tblCPI[], MATCH(INDEX(tblCPI_Map[CPI Region], MATCH($A57, tblCPI_Map[Census Division and State], 0)), tblCPI[[#Headers],[West]:[National]], 0)+1, FALSE)</f>
        <v>10.236659207977295</v>
      </c>
      <c r="H57" s="26">
        <f t="shared" si="0"/>
        <v>10.67</v>
      </c>
      <c r="J57" s="25" t="s">
        <v>233</v>
      </c>
      <c r="K57" s="26">
        <f t="shared" si="3"/>
        <v>0.25075087849084632</v>
      </c>
      <c r="L57" s="26">
        <f t="shared" si="1"/>
        <v>0.43334079202270459</v>
      </c>
      <c r="M57" s="26">
        <f t="shared" si="2"/>
        <v>-0.18258991353185827</v>
      </c>
      <c r="O57" s="26"/>
    </row>
    <row r="58" spans="1:15" x14ac:dyDescent="0.25">
      <c r="A58" s="25" t="s">
        <v>234</v>
      </c>
      <c r="B58" s="44">
        <v>8.1</v>
      </c>
      <c r="C58" s="44">
        <v>9.14</v>
      </c>
      <c r="D58" s="26">
        <v>9.75</v>
      </c>
      <c r="E58" s="44"/>
      <c r="F58" s="61">
        <f>$B58 * VLOOKUP(2025, tblCPI[], MATCH(INDEX(tblCPI_Map[CPI Region], MATCH($A58, tblCPI_Map[Census Division and State], 0)), tblCPI[[#Headers],[West]:[National]], 0)+1, FALSE) /VLOOKUP(2019, tblCPI[], MATCH(INDEX(tblCPI_Map[CPI Region], MATCH($A58, tblCPI_Map[Census Division and State], 0)), tblCPI[[#Headers],[West]:[National]], 0)+1, FALSE)</f>
        <v>10.24222304420196</v>
      </c>
      <c r="G58" s="61">
        <f>$C58 * VLOOKUP(2025, tblCPI[], MATCH(INDEX(tblCPI_Map[CPI Region], MATCH($A58, tblCPI_Map[Census Division and State], 0)), tblCPI[[#Headers],[West]:[National]], 0)+1, FALSE) /VLOOKUP(2024, tblCPI[], MATCH(INDEX(tblCPI_Map[CPI Region], MATCH($A58, tblCPI_Map[Census Division and State], 0)), tblCPI[[#Headers],[West]:[National]], 0)+1, FALSE)</f>
        <v>9.3844598957785834</v>
      </c>
      <c r="H58" s="26">
        <f t="shared" si="0"/>
        <v>9.75</v>
      </c>
      <c r="J58" s="25" t="s">
        <v>234</v>
      </c>
      <c r="K58" s="26">
        <f t="shared" si="3"/>
        <v>-0.49222304420196039</v>
      </c>
      <c r="L58" s="26">
        <f t="shared" si="1"/>
        <v>0.36554010422141658</v>
      </c>
      <c r="M58" s="26">
        <f t="shared" si="2"/>
        <v>-0.85776314842337698</v>
      </c>
      <c r="O58" s="26"/>
    </row>
    <row r="59" spans="1:15" x14ac:dyDescent="0.25">
      <c r="A59" s="60" t="s">
        <v>235</v>
      </c>
      <c r="B59" s="44">
        <v>13.79</v>
      </c>
      <c r="C59" s="44">
        <v>20.79</v>
      </c>
      <c r="D59" s="26">
        <v>21.22</v>
      </c>
      <c r="E59" s="44"/>
      <c r="F59" s="61">
        <f>$B59 * VLOOKUP(2025, tblCPI[], MATCH(INDEX(tblCPI_Map[CPI Region], MATCH($A59, tblCPI_Map[Census Division and State], 0)), tblCPI[[#Headers],[West]:[National]], 0)+1, FALSE) /VLOOKUP(2019, tblCPI[], MATCH(INDEX(tblCPI_Map[CPI Region], MATCH($A59, tblCPI_Map[Census Division and State], 0)), tblCPI[[#Headers],[West]:[National]], 0)+1, FALSE)</f>
        <v>17.437068614758644</v>
      </c>
      <c r="G59" s="61">
        <f>$C59 * VLOOKUP(2025, tblCPI[], MATCH(INDEX(tblCPI_Map[CPI Region], MATCH($A59, tblCPI_Map[Census Division and State], 0)), tblCPI[[#Headers],[West]:[National]], 0)+1, FALSE) /VLOOKUP(2024, tblCPI[], MATCH(INDEX(tblCPI_Map[CPI Region], MATCH($A59, tblCPI_Map[Census Division and State], 0)), tblCPI[[#Headers],[West]:[National]], 0)+1, FALSE)</f>
        <v>21.346052651338809</v>
      </c>
      <c r="H59" s="26">
        <f t="shared" si="0"/>
        <v>21.22</v>
      </c>
      <c r="J59" s="60" t="s">
        <v>235</v>
      </c>
      <c r="K59" s="26">
        <f t="shared" si="3"/>
        <v>3.7829313852413549</v>
      </c>
      <c r="L59" s="26">
        <f t="shared" si="1"/>
        <v>-0.12605265133881005</v>
      </c>
      <c r="M59" s="26">
        <f t="shared" si="2"/>
        <v>3.9089840365801649</v>
      </c>
      <c r="O59" s="26"/>
    </row>
    <row r="60" spans="1:15" x14ac:dyDescent="0.25">
      <c r="A60" s="25" t="s">
        <v>236</v>
      </c>
      <c r="B60" s="44">
        <v>16.89</v>
      </c>
      <c r="C60" s="44">
        <v>27.04</v>
      </c>
      <c r="D60" s="26">
        <v>27.63</v>
      </c>
      <c r="E60" s="44"/>
      <c r="F60" s="61">
        <f>$B60 * VLOOKUP(2025, tblCPI[], MATCH(INDEX(tblCPI_Map[CPI Region], MATCH($A60, tblCPI_Map[Census Division and State], 0)), tblCPI[[#Headers],[West]:[National]], 0)+1, FALSE) /VLOOKUP(2019, tblCPI[], MATCH(INDEX(tblCPI_Map[CPI Region], MATCH($A60, tblCPI_Map[Census Division and State], 0)), tblCPI[[#Headers],[West]:[National]], 0)+1, FALSE)</f>
        <v>21.356931755132237</v>
      </c>
      <c r="G60" s="61">
        <f>$C60 * VLOOKUP(2025, tblCPI[], MATCH(INDEX(tblCPI_Map[CPI Region], MATCH($A60, tblCPI_Map[Census Division and State], 0)), tblCPI[[#Headers],[West]:[National]], 0)+1, FALSE) /VLOOKUP(2024, tblCPI[], MATCH(INDEX(tblCPI_Map[CPI Region], MATCH($A60, tblCPI_Map[Census Division and State], 0)), tblCPI[[#Headers],[West]:[National]], 0)+1, FALSE)</f>
        <v>27.763216146811036</v>
      </c>
      <c r="H60" s="26">
        <f t="shared" si="0"/>
        <v>27.63</v>
      </c>
      <c r="J60" s="25" t="s">
        <v>236</v>
      </c>
      <c r="K60" s="26">
        <f t="shared" si="3"/>
        <v>6.2730682448677619</v>
      </c>
      <c r="L60" s="26">
        <f t="shared" si="1"/>
        <v>-0.13321614681103711</v>
      </c>
      <c r="M60" s="26">
        <f t="shared" si="2"/>
        <v>6.406284391678799</v>
      </c>
      <c r="O60" s="26"/>
    </row>
    <row r="61" spans="1:15" x14ac:dyDescent="0.25">
      <c r="A61" s="25" t="s">
        <v>237</v>
      </c>
      <c r="B61" s="44">
        <v>8.81</v>
      </c>
      <c r="C61" s="44">
        <v>11.11</v>
      </c>
      <c r="D61" s="26">
        <v>11.51</v>
      </c>
      <c r="E61" s="44"/>
      <c r="F61" s="61">
        <f>$B61 * VLOOKUP(2025, tblCPI[], MATCH(INDEX(tblCPI_Map[CPI Region], MATCH($A61, tblCPI_Map[Census Division and State], 0)), tblCPI[[#Headers],[West]:[National]], 0)+1, FALSE) /VLOOKUP(2019, tblCPI[], MATCH(INDEX(tblCPI_Map[CPI Region], MATCH($A61, tblCPI_Map[Census Division and State], 0)), tblCPI[[#Headers],[West]:[National]], 0)+1, FALSE)</f>
        <v>11.139998150545591</v>
      </c>
      <c r="G61" s="61">
        <f>$C61 * VLOOKUP(2025, tblCPI[], MATCH(INDEX(tblCPI_Map[CPI Region], MATCH($A61, tblCPI_Map[Census Division and State], 0)), tblCPI[[#Headers],[West]:[National]], 0)+1, FALSE) /VLOOKUP(2024, tblCPI[], MATCH(INDEX(tblCPI_Map[CPI Region], MATCH($A61, tblCPI_Map[Census Division and State], 0)), tblCPI[[#Headers],[West]:[National]], 0)+1, FALSE)</f>
        <v>11.407149829551427</v>
      </c>
      <c r="H61" s="26">
        <f t="shared" si="0"/>
        <v>11.51</v>
      </c>
      <c r="J61" s="25" t="s">
        <v>237</v>
      </c>
      <c r="K61" s="26">
        <f t="shared" si="3"/>
        <v>0.37000184945440928</v>
      </c>
      <c r="L61" s="26">
        <f t="shared" si="1"/>
        <v>0.1028501704485727</v>
      </c>
      <c r="M61" s="26">
        <f t="shared" si="2"/>
        <v>0.26715167900583658</v>
      </c>
      <c r="O61" s="26"/>
    </row>
    <row r="62" spans="1:15" x14ac:dyDescent="0.25">
      <c r="A62" s="25" t="s">
        <v>238</v>
      </c>
      <c r="B62" s="44">
        <v>8.0399999999999991</v>
      </c>
      <c r="C62" s="44">
        <v>10.130000000000001</v>
      </c>
      <c r="D62" s="26">
        <v>11.06</v>
      </c>
      <c r="E62" s="44"/>
      <c r="F62" s="61">
        <f>$B62 * VLOOKUP(2025, tblCPI[], MATCH(INDEX(tblCPI_Map[CPI Region], MATCH($A62, tblCPI_Map[Census Division and State], 0)), tblCPI[[#Headers],[West]:[National]], 0)+1, FALSE) /VLOOKUP(2019, tblCPI[], MATCH(INDEX(tblCPI_Map[CPI Region], MATCH($A62, tblCPI_Map[Census Division and State], 0)), tblCPI[[#Headers],[West]:[National]], 0)+1, FALSE)</f>
        <v>10.166354725356019</v>
      </c>
      <c r="G62" s="61">
        <f>$C62 * VLOOKUP(2025, tblCPI[], MATCH(INDEX(tblCPI_Map[CPI Region], MATCH($A62, tblCPI_Map[Census Division and State], 0)), tblCPI[[#Headers],[West]:[National]], 0)+1, FALSE) /VLOOKUP(2024, tblCPI[], MATCH(INDEX(tblCPI_Map[CPI Region], MATCH($A62, tblCPI_Map[Census Division and State], 0)), tblCPI[[#Headers],[West]:[National]], 0)+1, FALSE)</f>
        <v>10.400938593461385</v>
      </c>
      <c r="H62" s="26">
        <f t="shared" si="0"/>
        <v>11.06</v>
      </c>
      <c r="J62" s="25" t="s">
        <v>238</v>
      </c>
      <c r="K62" s="26">
        <f t="shared" si="3"/>
        <v>0.89364527464398158</v>
      </c>
      <c r="L62" s="26">
        <f t="shared" si="1"/>
        <v>0.65906140653861556</v>
      </c>
      <c r="M62" s="26">
        <f t="shared" si="2"/>
        <v>0.23458386810536602</v>
      </c>
      <c r="O62" s="26"/>
    </row>
    <row r="63" spans="1:15" x14ac:dyDescent="0.25">
      <c r="A63" s="60" t="s">
        <v>239</v>
      </c>
      <c r="B63" s="44">
        <v>25.48</v>
      </c>
      <c r="C63" s="44">
        <v>31.62</v>
      </c>
      <c r="D63" s="26">
        <v>30.64</v>
      </c>
      <c r="E63" s="44"/>
      <c r="F63" s="61">
        <f>$B63 * VLOOKUP(2025, tblCPI[], MATCH(INDEX(tblCPI_Map[CPI Region], MATCH($A63, tblCPI_Map[Census Division and State], 0)), tblCPI[[#Headers],[West]:[National]], 0)+1, FALSE) /VLOOKUP(2019, tblCPI[], MATCH(INDEX(tblCPI_Map[CPI Region], MATCH($A63, tblCPI_Map[Census Division and State], 0)), tblCPI[[#Headers],[West]:[National]], 0)+1, FALSE)</f>
        <v>32.218746069909379</v>
      </c>
      <c r="G63" s="61">
        <f>$C63 * VLOOKUP(2025, tblCPI[], MATCH(INDEX(tblCPI_Map[CPI Region], MATCH($A63, tblCPI_Map[Census Division and State], 0)), tblCPI[[#Headers],[West]:[National]], 0)+1, FALSE) /VLOOKUP(2024, tblCPI[], MATCH(INDEX(tblCPI_Map[CPI Region], MATCH($A63, tblCPI_Map[Census Division and State], 0)), tblCPI[[#Headers],[West]:[National]], 0)+1, FALSE)</f>
        <v>32.465713556293082</v>
      </c>
      <c r="H63" s="26">
        <f t="shared" si="0"/>
        <v>30.64</v>
      </c>
      <c r="J63" s="60" t="s">
        <v>239</v>
      </c>
      <c r="K63" s="26">
        <f t="shared" si="3"/>
        <v>-1.5787460699093785</v>
      </c>
      <c r="L63" s="26">
        <f t="shared" si="1"/>
        <v>-1.8257135562930813</v>
      </c>
      <c r="M63" s="26">
        <f t="shared" si="2"/>
        <v>0.24696748638370281</v>
      </c>
      <c r="O63" s="26"/>
    </row>
    <row r="64" spans="1:15" x14ac:dyDescent="0.25">
      <c r="A64" s="25" t="s">
        <v>240</v>
      </c>
      <c r="B64" s="44">
        <v>20.22</v>
      </c>
      <c r="C64" s="44">
        <v>22.17</v>
      </c>
      <c r="D64" s="26">
        <v>23.05</v>
      </c>
      <c r="E64" s="44"/>
      <c r="F64" s="61">
        <f>$B64 * VLOOKUP(2025, tblCPI[], MATCH(INDEX(tblCPI_Map[CPI Region], MATCH($A64, tblCPI_Map[Census Division and State], 0)), tblCPI[[#Headers],[West]:[National]], 0)+1, FALSE) /VLOOKUP(2019, tblCPI[], MATCH(INDEX(tblCPI_Map[CPI Region], MATCH($A64, tblCPI_Map[Census Division and State], 0)), tblCPI[[#Headers],[West]:[National]], 0)+1, FALSE)</f>
        <v>25.567623451081928</v>
      </c>
      <c r="G64" s="61">
        <f>$C64 * VLOOKUP(2025, tblCPI[], MATCH(INDEX(tblCPI_Map[CPI Region], MATCH($A64, tblCPI_Map[Census Division and State], 0)), tblCPI[[#Headers],[West]:[National]], 0)+1, FALSE) /VLOOKUP(2024, tblCPI[], MATCH(INDEX(tblCPI_Map[CPI Region], MATCH($A64, tblCPI_Map[Census Division and State], 0)), tblCPI[[#Headers],[West]:[National]], 0)+1, FALSE)</f>
        <v>22.76296235113908</v>
      </c>
      <c r="H64" s="26">
        <f t="shared" si="0"/>
        <v>23.05</v>
      </c>
      <c r="J64" s="25" t="s">
        <v>240</v>
      </c>
      <c r="K64" s="26">
        <f t="shared" si="3"/>
        <v>-2.5176234510819278</v>
      </c>
      <c r="L64" s="26">
        <f t="shared" si="1"/>
        <v>0.28703764886092031</v>
      </c>
      <c r="M64" s="26">
        <f t="shared" si="2"/>
        <v>-2.8046610999428481</v>
      </c>
      <c r="O64" s="26"/>
    </row>
    <row r="65" spans="1:15" x14ac:dyDescent="0.25">
      <c r="A65" s="25" t="s">
        <v>241</v>
      </c>
      <c r="B65" s="44">
        <v>28.72</v>
      </c>
      <c r="C65" s="44">
        <v>38</v>
      </c>
      <c r="D65" s="26">
        <v>35.72</v>
      </c>
      <c r="E65" s="44"/>
      <c r="F65" s="61">
        <f>$B65 * VLOOKUP(2025, tblCPI[], MATCH(INDEX(tblCPI_Map[CPI Region], MATCH($A65, tblCPI_Map[Census Division and State], 0)), tblCPI[[#Headers],[West]:[National]], 0)+1, FALSE) /VLOOKUP(2019, tblCPI[], MATCH(INDEX(tblCPI_Map[CPI Region], MATCH($A65, tblCPI_Map[Census Division and State], 0)), tblCPI[[#Headers],[West]:[National]], 0)+1, FALSE)</f>
        <v>36.315635287590162</v>
      </c>
      <c r="G65" s="61">
        <f>$C65 * VLOOKUP(2025, tblCPI[], MATCH(INDEX(tblCPI_Map[CPI Region], MATCH($A65, tblCPI_Map[Census Division and State], 0)), tblCPI[[#Headers],[West]:[National]], 0)+1, FALSE) /VLOOKUP(2024, tblCPI[], MATCH(INDEX(tblCPI_Map[CPI Region], MATCH($A65, tblCPI_Map[Census Division and State], 0)), tblCPI[[#Headers],[West]:[National]], 0)+1, FALSE)</f>
        <v>39.016354052471129</v>
      </c>
      <c r="H65" s="26">
        <f t="shared" si="0"/>
        <v>35.72</v>
      </c>
      <c r="J65" s="25" t="s">
        <v>241</v>
      </c>
      <c r="K65" s="26">
        <f t="shared" si="3"/>
        <v>-0.59563528759016293</v>
      </c>
      <c r="L65" s="26">
        <f t="shared" si="1"/>
        <v>-3.2963540524711306</v>
      </c>
      <c r="M65" s="26">
        <f t="shared" si="2"/>
        <v>2.7007187648809676</v>
      </c>
      <c r="O65" s="26"/>
    </row>
    <row r="66" spans="1:15" x14ac:dyDescent="0.25">
      <c r="A66" s="60" t="s">
        <v>242</v>
      </c>
      <c r="B66" s="44">
        <v>10.54</v>
      </c>
      <c r="C66" s="44">
        <v>12.94</v>
      </c>
      <c r="D66" s="26">
        <v>13.63</v>
      </c>
      <c r="E66" s="44"/>
      <c r="F66" s="61">
        <f>$B66 * VLOOKUP(2025, tblCPI[], MATCH(INDEX(tblCPI_Map[CPI Region], MATCH($A66, tblCPI_Map[Census Division and State], 0)), tblCPI[[#Headers],[West]:[National]], 0)+1, FALSE) /VLOOKUP(2019, tblCPI[], MATCH(INDEX(tblCPI_Map[CPI Region], MATCH($A66, tblCPI_Map[Census Division and State], 0)), tblCPI[[#Headers],[West]:[National]], 0)+1, FALSE)</f>
        <v>13.272780404995753</v>
      </c>
      <c r="G66" s="61">
        <f>$C66 * VLOOKUP(2025, tblCPI[], MATCH(INDEX(tblCPI_Map[CPI Region], MATCH($A66, tblCPI_Map[Census Division and State], 0)), tblCPI[[#Headers],[West]:[National]], 0)+1, FALSE) /VLOOKUP(2024, tblCPI[], MATCH(INDEX(tblCPI_Map[CPI Region], MATCH($A66, tblCPI_Map[Census Division and State], 0)), tblCPI[[#Headers],[West]:[National]], 0)+1, FALSE)</f>
        <v>13.280486150295353</v>
      </c>
      <c r="H66" s="26">
        <f t="shared" si="0"/>
        <v>13.63</v>
      </c>
      <c r="J66" s="60" t="s">
        <v>242</v>
      </c>
      <c r="K66" s="26">
        <f t="shared" si="3"/>
        <v>0.35721959500424738</v>
      </c>
      <c r="L66" s="26">
        <f t="shared" si="1"/>
        <v>0.34951384970464794</v>
      </c>
      <c r="M66" s="26">
        <f t="shared" si="2"/>
        <v>7.7057452995994424E-3</v>
      </c>
      <c r="O66" s="26"/>
    </row>
    <row r="68" spans="1:15" x14ac:dyDescent="0.25">
      <c r="H68" s="277"/>
      <c r="K68" s="26"/>
      <c r="L68" s="26"/>
    </row>
    <row r="69" spans="1:15" x14ac:dyDescent="0.25">
      <c r="A69" t="s">
        <v>197</v>
      </c>
      <c r="B69" s="28" t="s">
        <v>356</v>
      </c>
      <c r="C69"/>
    </row>
    <row r="70" spans="1:15" x14ac:dyDescent="0.25">
      <c r="A70"/>
      <c r="B70" s="28" t="s">
        <v>367</v>
      </c>
      <c r="C70"/>
    </row>
    <row r="71" spans="1:15" x14ac:dyDescent="0.25">
      <c r="A71"/>
      <c r="B71" s="28"/>
      <c r="C71"/>
    </row>
    <row r="72" spans="1:15" x14ac:dyDescent="0.25">
      <c r="A72" t="s">
        <v>205</v>
      </c>
      <c r="B72" s="28" t="s">
        <v>357</v>
      </c>
      <c r="C72"/>
    </row>
    <row r="76" spans="1:15" x14ac:dyDescent="0.25">
      <c r="D76" s="28"/>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6175F-7906-4C00-9028-D7BF9937D4D0}">
  <sheetPr>
    <tabColor theme="5" tint="0.59999389629810485"/>
  </sheetPr>
  <dimension ref="A1:R76"/>
  <sheetViews>
    <sheetView workbookViewId="0">
      <selection activeCell="H68" sqref="H68"/>
    </sheetView>
  </sheetViews>
  <sheetFormatPr defaultRowHeight="15" x14ac:dyDescent="0.25"/>
  <cols>
    <col min="1" max="1" width="23.5703125" style="25" customWidth="1"/>
    <col min="2" max="4" width="25.42578125" style="25" customWidth="1"/>
    <col min="5" max="5" width="6.140625" style="25" customWidth="1"/>
    <col min="6" max="8" width="25.42578125" customWidth="1"/>
    <col min="9" max="9" width="5.42578125" customWidth="1"/>
    <col min="10" max="10" width="21.42578125" customWidth="1"/>
    <col min="11" max="12" width="22.5703125" customWidth="1"/>
    <col min="13" max="13" width="24.42578125" customWidth="1"/>
    <col min="15" max="18" width="21.85546875" customWidth="1"/>
  </cols>
  <sheetData>
    <row r="1" spans="1:18" x14ac:dyDescent="0.25">
      <c r="A1" s="59" t="s">
        <v>43</v>
      </c>
      <c r="B1" s="59"/>
      <c r="C1" s="59"/>
    </row>
    <row r="2" spans="1:18" x14ac:dyDescent="0.25">
      <c r="A2" s="28" t="s">
        <v>44</v>
      </c>
      <c r="B2" s="28"/>
      <c r="C2" s="28"/>
      <c r="F2" s="31"/>
    </row>
    <row r="4" spans="1:18" ht="33.75" customHeight="1" x14ac:dyDescent="0.25">
      <c r="A4" s="43" t="s">
        <v>165</v>
      </c>
      <c r="B4" s="43" t="s">
        <v>358</v>
      </c>
      <c r="C4" s="43" t="s">
        <v>359</v>
      </c>
      <c r="D4" s="43" t="s">
        <v>360</v>
      </c>
      <c r="E4" s="43"/>
      <c r="F4" s="43" t="s">
        <v>361</v>
      </c>
      <c r="G4" s="43" t="s">
        <v>362</v>
      </c>
      <c r="H4" s="43" t="s">
        <v>363</v>
      </c>
      <c r="I4" s="43"/>
      <c r="J4" s="43" t="s">
        <v>165</v>
      </c>
      <c r="K4" s="43" t="s">
        <v>364</v>
      </c>
      <c r="L4" s="43" t="s">
        <v>365</v>
      </c>
      <c r="M4" s="43" t="s">
        <v>366</v>
      </c>
      <c r="N4" s="54"/>
      <c r="O4" s="43" t="s">
        <v>165</v>
      </c>
      <c r="P4" s="43" t="s">
        <v>368</v>
      </c>
      <c r="Q4" s="43" t="s">
        <v>369</v>
      </c>
      <c r="R4" s="43" t="s">
        <v>370</v>
      </c>
    </row>
    <row r="5" spans="1:18" ht="16.5" customHeight="1" x14ac:dyDescent="0.25">
      <c r="A5" s="60" t="s">
        <v>167</v>
      </c>
      <c r="B5" s="44">
        <v>21.1</v>
      </c>
      <c r="C5" s="44">
        <v>27.68</v>
      </c>
      <c r="D5" s="26">
        <v>28.91</v>
      </c>
      <c r="E5" s="26"/>
      <c r="F5" s="61">
        <f>$B5 * VLOOKUP(2025, tblCPI[], MATCH(INDEX(tblCPI_Map[CPI Region], MATCH($A5, tblCPI_Map[Census Division and State], 0)), tblCPI[[#Headers],[West]:[National]], 0)+1, FALSE) /VLOOKUP(2019, tblCPI[], MATCH(INDEX(tblCPI_Map[CPI Region], MATCH($A5, tblCPI_Map[Census Division and State], 0)), tblCPI[[#Headers],[West]:[National]], 0)+1, FALSE)</f>
        <v>26.208795361406427</v>
      </c>
      <c r="G5" s="61">
        <f>$C5 * VLOOKUP(2025, tblCPI[], MATCH(INDEX(tblCPI_Map[CPI Region], MATCH($A5, tblCPI_Map[Census Division and State], 0)), tblCPI[[#Headers],[West]:[National]], 0)+1, FALSE) /VLOOKUP(2024, tblCPI[], MATCH(INDEX(tblCPI_Map[CPI Region], MATCH($A5, tblCPI_Map[Census Division and State], 0)), tblCPI[[#Headers],[West]:[National]], 0)+1, FALSE)</f>
        <v>28.552132849563961</v>
      </c>
      <c r="H5" s="26">
        <f>D5</f>
        <v>28.91</v>
      </c>
      <c r="J5" s="60" t="s">
        <v>167</v>
      </c>
      <c r="K5" s="26">
        <f>H5-F5</f>
        <v>2.7012046385935733</v>
      </c>
      <c r="L5" s="26">
        <f>H5-G5</f>
        <v>0.35786715043603934</v>
      </c>
      <c r="M5" s="26">
        <f>G5-F5</f>
        <v>2.343337488157534</v>
      </c>
      <c r="O5" s="60" t="s">
        <v>167</v>
      </c>
      <c r="P5" s="26">
        <f>D5-B5</f>
        <v>7.8099999999999987</v>
      </c>
      <c r="Q5" s="26">
        <f>D5-C5</f>
        <v>1.2300000000000004</v>
      </c>
      <c r="R5" s="26">
        <f>C5-B5</f>
        <v>6.5799999999999983</v>
      </c>
    </row>
    <row r="6" spans="1:18" x14ac:dyDescent="0.25">
      <c r="A6" s="25" t="s">
        <v>168</v>
      </c>
      <c r="B6" s="44">
        <v>21.87</v>
      </c>
      <c r="C6" s="44">
        <v>28.75</v>
      </c>
      <c r="D6" s="26">
        <v>29.38</v>
      </c>
      <c r="E6" s="26"/>
      <c r="F6" s="61">
        <f>$B6 * VLOOKUP(2025, tblCPI[], MATCH(INDEX(tblCPI_Map[CPI Region], MATCH($A6, tblCPI_Map[Census Division and State], 0)), tblCPI[[#Headers],[West]:[National]], 0)+1, FALSE) /VLOOKUP(2019, tblCPI[], MATCH(INDEX(tblCPI_Map[CPI Region], MATCH($A6, tblCPI_Map[Census Division and State], 0)), tblCPI[[#Headers],[West]:[National]], 0)+1, FALSE)</f>
        <v>27.165230073647326</v>
      </c>
      <c r="G6" s="61">
        <f>$C6 * VLOOKUP(2025, tblCPI[], MATCH(INDEX(tblCPI_Map[CPI Region], MATCH($A6, tblCPI_Map[Census Division and State], 0)), tblCPI[[#Headers],[West]:[National]], 0)+1, FALSE) /VLOOKUP(2024, tblCPI[], MATCH(INDEX(tblCPI_Map[CPI Region], MATCH($A6, tblCPI_Map[Census Division and State], 0)), tblCPI[[#Headers],[West]:[National]], 0)+1, FALSE)</f>
        <v>29.655846077491468</v>
      </c>
      <c r="H6" s="26">
        <f t="shared" ref="H6:H66" si="0">D6</f>
        <v>29.38</v>
      </c>
      <c r="J6" s="25" t="s">
        <v>168</v>
      </c>
      <c r="K6" s="26">
        <f t="shared" ref="K6:K66" si="1">H6-F6</f>
        <v>2.2147699263526732</v>
      </c>
      <c r="L6" s="26">
        <f t="shared" ref="L6:L66" si="2">H6-G6</f>
        <v>-0.27584607749146883</v>
      </c>
      <c r="M6" s="26">
        <f t="shared" ref="M6:M66" si="3">G6-F6</f>
        <v>2.4906160038441421</v>
      </c>
      <c r="O6" s="25" t="s">
        <v>168</v>
      </c>
      <c r="P6" s="26">
        <f t="shared" ref="P6:P66" si="4">D6-B6</f>
        <v>7.509999999999998</v>
      </c>
      <c r="Q6" s="26">
        <f t="shared" ref="Q6:Q66" si="5">D6-C6</f>
        <v>0.62999999999999901</v>
      </c>
      <c r="R6" s="26">
        <f t="shared" ref="R6:R66" si="6">C6-B6</f>
        <v>6.879999999999999</v>
      </c>
    </row>
    <row r="7" spans="1:18" x14ac:dyDescent="0.25">
      <c r="A7" s="25" t="s">
        <v>169</v>
      </c>
      <c r="B7" s="44">
        <v>17.89</v>
      </c>
      <c r="C7" s="44">
        <v>24.29</v>
      </c>
      <c r="D7" s="26">
        <v>27.78</v>
      </c>
      <c r="E7" s="26"/>
      <c r="F7" s="61">
        <f>$B7 * VLOOKUP(2025, tblCPI[], MATCH(INDEX(tblCPI_Map[CPI Region], MATCH($A7, tblCPI_Map[Census Division and State], 0)), tblCPI[[#Headers],[West]:[National]], 0)+1, FALSE) /VLOOKUP(2019, tblCPI[], MATCH(INDEX(tblCPI_Map[CPI Region], MATCH($A7, tblCPI_Map[Census Division and State], 0)), tblCPI[[#Headers],[West]:[National]], 0)+1, FALSE)</f>
        <v>22.221580522064503</v>
      </c>
      <c r="G7" s="61">
        <f>$C7 * VLOOKUP(2025, tblCPI[], MATCH(INDEX(tblCPI_Map[CPI Region], MATCH($A7, tblCPI_Map[Census Division and State], 0)), tblCPI[[#Headers],[West]:[National]], 0)+1, FALSE) /VLOOKUP(2024, tblCPI[], MATCH(INDEX(tblCPI_Map[CPI Region], MATCH($A7, tblCPI_Map[Census Division and State], 0)), tblCPI[[#Headers],[West]:[National]], 0)+1, FALSE)</f>
        <v>25.055321781644096</v>
      </c>
      <c r="H7" s="26">
        <f t="shared" si="0"/>
        <v>27.78</v>
      </c>
      <c r="J7" s="25" t="s">
        <v>169</v>
      </c>
      <c r="K7" s="26">
        <f>H7-F7</f>
        <v>5.5584194779354981</v>
      </c>
      <c r="L7" s="26">
        <f t="shared" si="2"/>
        <v>2.7246782183559048</v>
      </c>
      <c r="M7" s="26">
        <f t="shared" si="3"/>
        <v>2.8337412595795932</v>
      </c>
      <c r="O7" s="25" t="s">
        <v>169</v>
      </c>
      <c r="P7" s="26">
        <f t="shared" si="4"/>
        <v>9.89</v>
      </c>
      <c r="Q7" s="26">
        <f t="shared" si="5"/>
        <v>3.490000000000002</v>
      </c>
      <c r="R7" s="26">
        <f t="shared" si="6"/>
        <v>6.3999999999999986</v>
      </c>
    </row>
    <row r="8" spans="1:18" x14ac:dyDescent="0.25">
      <c r="A8" s="25" t="s">
        <v>170</v>
      </c>
      <c r="B8" s="44">
        <v>21.92</v>
      </c>
      <c r="C8" s="44">
        <v>29.35</v>
      </c>
      <c r="D8" s="26">
        <v>30.48</v>
      </c>
      <c r="E8" s="26"/>
      <c r="F8" s="61">
        <f>$B8 * VLOOKUP(2025, tblCPI[], MATCH(INDEX(tblCPI_Map[CPI Region], MATCH($A8, tblCPI_Map[Census Division and State], 0)), tblCPI[[#Headers],[West]:[National]], 0)+1, FALSE) /VLOOKUP(2019, tblCPI[], MATCH(INDEX(tblCPI_Map[CPI Region], MATCH($A8, tblCPI_Map[Census Division and State], 0)), tblCPI[[#Headers],[West]:[National]], 0)+1, FALSE)</f>
        <v>27.22733622379284</v>
      </c>
      <c r="G8" s="61">
        <f>$C8 * VLOOKUP(2025, tblCPI[], MATCH(INDEX(tblCPI_Map[CPI Region], MATCH($A8, tblCPI_Map[Census Division and State], 0)), tblCPI[[#Headers],[West]:[National]], 0)+1, FALSE) /VLOOKUP(2024, tblCPI[], MATCH(INDEX(tblCPI_Map[CPI Region], MATCH($A8, tblCPI_Map[Census Division and State], 0)), tblCPI[[#Headers],[West]:[National]], 0)+1, FALSE)</f>
        <v>30.274750691282595</v>
      </c>
      <c r="H8" s="26">
        <f t="shared" si="0"/>
        <v>30.48</v>
      </c>
      <c r="J8" s="25" t="s">
        <v>170</v>
      </c>
      <c r="K8" s="26">
        <f>H8-F8</f>
        <v>3.2526637762071609</v>
      </c>
      <c r="L8" s="26">
        <f>H8-G8</f>
        <v>0.20524930871740565</v>
      </c>
      <c r="M8" s="26">
        <f>G8-F8</f>
        <v>3.0474144674897552</v>
      </c>
      <c r="O8" s="25" t="s">
        <v>170</v>
      </c>
      <c r="P8" s="26">
        <f>D8-B8</f>
        <v>8.5599999999999987</v>
      </c>
      <c r="Q8" s="26">
        <f t="shared" si="5"/>
        <v>1.129999999999999</v>
      </c>
      <c r="R8" s="26">
        <f t="shared" si="6"/>
        <v>7.43</v>
      </c>
    </row>
    <row r="9" spans="1:18" x14ac:dyDescent="0.25">
      <c r="A9" s="25" t="s">
        <v>171</v>
      </c>
      <c r="B9" s="44">
        <v>20.05</v>
      </c>
      <c r="C9" s="44">
        <v>23.4</v>
      </c>
      <c r="D9" s="26">
        <v>24.56</v>
      </c>
      <c r="E9" s="26"/>
      <c r="F9" s="61">
        <f>$B9 * VLOOKUP(2025, tblCPI[], MATCH(INDEX(tblCPI_Map[CPI Region], MATCH($A9, tblCPI_Map[Census Division and State], 0)), tblCPI[[#Headers],[West]:[National]], 0)+1, FALSE) /VLOOKUP(2019, tblCPI[], MATCH(INDEX(tblCPI_Map[CPI Region], MATCH($A9, tblCPI_Map[Census Division and State], 0)), tblCPI[[#Headers],[West]:[National]], 0)+1, FALSE)</f>
        <v>24.904566208350658</v>
      </c>
      <c r="G9" s="61">
        <f>$C9 * VLOOKUP(2025, tblCPI[], MATCH(INDEX(tblCPI_Map[CPI Region], MATCH($A9, tblCPI_Map[Census Division and State], 0)), tblCPI[[#Headers],[West]:[National]], 0)+1, FALSE) /VLOOKUP(2024, tblCPI[], MATCH(INDEX(tblCPI_Map[CPI Region], MATCH($A9, tblCPI_Map[Census Division and State], 0)), tblCPI[[#Headers],[West]:[National]], 0)+1, FALSE)</f>
        <v>24.137279937853926</v>
      </c>
      <c r="H9" s="26">
        <f t="shared" si="0"/>
        <v>24.56</v>
      </c>
      <c r="J9" s="25" t="s">
        <v>171</v>
      </c>
      <c r="K9" s="26">
        <f t="shared" si="1"/>
        <v>-0.34456620835065976</v>
      </c>
      <c r="L9" s="26">
        <f t="shared" si="2"/>
        <v>0.42272006214607316</v>
      </c>
      <c r="M9" s="26">
        <f t="shared" si="3"/>
        <v>-0.76728627049673293</v>
      </c>
      <c r="O9" s="25" t="s">
        <v>171</v>
      </c>
      <c r="P9" s="26">
        <f t="shared" si="4"/>
        <v>4.509999999999998</v>
      </c>
      <c r="Q9" s="26">
        <f t="shared" si="5"/>
        <v>1.1600000000000001</v>
      </c>
      <c r="R9" s="26">
        <f>C9-B9</f>
        <v>3.3499999999999979</v>
      </c>
    </row>
    <row r="10" spans="1:18" x14ac:dyDescent="0.25">
      <c r="A10" s="25" t="s">
        <v>172</v>
      </c>
      <c r="B10" s="44">
        <v>21.73</v>
      </c>
      <c r="C10" s="44">
        <v>28.65</v>
      </c>
      <c r="D10" s="26">
        <v>29.46</v>
      </c>
      <c r="E10" s="26"/>
      <c r="F10" s="61">
        <f>$B10 * VLOOKUP(2025, tblCPI[], MATCH(INDEX(tblCPI_Map[CPI Region], MATCH($A10, tblCPI_Map[Census Division and State], 0)), tblCPI[[#Headers],[West]:[National]], 0)+1, FALSE) /VLOOKUP(2019, tblCPI[], MATCH(INDEX(tblCPI_Map[CPI Region], MATCH($A10, tblCPI_Map[Census Division and State], 0)), tblCPI[[#Headers],[West]:[National]], 0)+1, FALSE)</f>
        <v>26.991332853239889</v>
      </c>
      <c r="G10" s="61">
        <f>$C10 * VLOOKUP(2025, tblCPI[], MATCH(INDEX(tblCPI_Map[CPI Region], MATCH($A10, tblCPI_Map[Census Division and State], 0)), tblCPI[[#Headers],[West]:[National]], 0)+1, FALSE) /VLOOKUP(2024, tblCPI[], MATCH(INDEX(tblCPI_Map[CPI Region], MATCH($A10, tblCPI_Map[Census Division and State], 0)), tblCPI[[#Headers],[West]:[National]], 0)+1, FALSE)</f>
        <v>29.552695308526278</v>
      </c>
      <c r="H10" s="26">
        <f t="shared" si="0"/>
        <v>29.46</v>
      </c>
      <c r="J10" s="25" t="s">
        <v>172</v>
      </c>
      <c r="K10" s="26">
        <f t="shared" si="1"/>
        <v>2.4686671467601116</v>
      </c>
      <c r="L10" s="26">
        <f t="shared" si="2"/>
        <v>-9.2695308526277387E-2</v>
      </c>
      <c r="M10" s="26">
        <f t="shared" si="3"/>
        <v>2.561362455286389</v>
      </c>
      <c r="O10" s="25" t="s">
        <v>172</v>
      </c>
      <c r="P10" s="26">
        <f t="shared" si="4"/>
        <v>7.73</v>
      </c>
      <c r="Q10" s="26">
        <f t="shared" si="5"/>
        <v>0.81000000000000227</v>
      </c>
      <c r="R10" s="26">
        <f t="shared" si="6"/>
        <v>6.9199999999999982</v>
      </c>
    </row>
    <row r="11" spans="1:18" x14ac:dyDescent="0.25">
      <c r="A11" s="25" t="s">
        <v>173</v>
      </c>
      <c r="B11" s="44">
        <v>17.71</v>
      </c>
      <c r="C11" s="44">
        <v>21.9</v>
      </c>
      <c r="D11" s="26">
        <v>22.92</v>
      </c>
      <c r="E11" s="26"/>
      <c r="F11" s="61">
        <f>$B11 * VLOOKUP(2025, tblCPI[], MATCH(INDEX(tblCPI_Map[CPI Region], MATCH($A11, tblCPI_Map[Census Division and State], 0)), tblCPI[[#Headers],[West]:[National]], 0)+1, FALSE) /VLOOKUP(2019, tblCPI[], MATCH(INDEX(tblCPI_Map[CPI Region], MATCH($A11, tblCPI_Map[Census Division and State], 0)), tblCPI[[#Headers],[West]:[National]], 0)+1, FALSE)</f>
        <v>21.997998381540654</v>
      </c>
      <c r="G11" s="61">
        <f>$C11 * VLOOKUP(2025, tblCPI[], MATCH(INDEX(tblCPI_Map[CPI Region], MATCH($A11, tblCPI_Map[Census Division and State], 0)), tblCPI[[#Headers],[West]:[National]], 0)+1, FALSE) /VLOOKUP(2024, tblCPI[], MATCH(INDEX(tblCPI_Map[CPI Region], MATCH($A11, tblCPI_Map[Census Division and State], 0)), tblCPI[[#Headers],[West]:[National]], 0)+1, FALSE)</f>
        <v>22.59001840337611</v>
      </c>
      <c r="H11" s="26">
        <f t="shared" si="0"/>
        <v>22.92</v>
      </c>
      <c r="J11" s="25" t="s">
        <v>173</v>
      </c>
      <c r="K11" s="26">
        <f t="shared" si="1"/>
        <v>0.92200161845934758</v>
      </c>
      <c r="L11" s="26">
        <f t="shared" si="2"/>
        <v>0.3299815966238917</v>
      </c>
      <c r="M11" s="26">
        <f t="shared" si="3"/>
        <v>0.59202002183545588</v>
      </c>
      <c r="O11" s="25" t="s">
        <v>173</v>
      </c>
      <c r="P11" s="26">
        <f t="shared" si="4"/>
        <v>5.2100000000000009</v>
      </c>
      <c r="Q11" s="26">
        <f t="shared" si="5"/>
        <v>1.0200000000000031</v>
      </c>
      <c r="R11" s="26">
        <f t="shared" si="6"/>
        <v>4.1899999999999977</v>
      </c>
    </row>
    <row r="12" spans="1:18" x14ac:dyDescent="0.25">
      <c r="A12" s="60" t="s">
        <v>174</v>
      </c>
      <c r="B12" s="44">
        <v>15.8</v>
      </c>
      <c r="C12" s="44">
        <v>20.63</v>
      </c>
      <c r="D12" s="26">
        <v>22.7</v>
      </c>
      <c r="E12" s="26"/>
      <c r="F12" s="61">
        <f>$B12 * VLOOKUP(2025, tblCPI[], MATCH(INDEX(tblCPI_Map[CPI Region], MATCH($A12, tblCPI_Map[Census Division and State], 0)), tblCPI[[#Headers],[West]:[National]], 0)+1, FALSE) /VLOOKUP(2019, tblCPI[], MATCH(INDEX(tblCPI_Map[CPI Region], MATCH($A12, tblCPI_Map[Census Division and State], 0)), tblCPI[[#Headers],[West]:[National]], 0)+1, FALSE)</f>
        <v>19.625543445982064</v>
      </c>
      <c r="G12" s="61">
        <f>$C12 * VLOOKUP(2025, tblCPI[], MATCH(INDEX(tblCPI_Map[CPI Region], MATCH($A12, tblCPI_Map[Census Division and State], 0)), tblCPI[[#Headers],[West]:[National]], 0)+1, FALSE) /VLOOKUP(2024, tblCPI[], MATCH(INDEX(tblCPI_Map[CPI Region], MATCH($A12, tblCPI_Map[Census Division and State], 0)), tblCPI[[#Headers],[West]:[National]], 0)+1, FALSE)</f>
        <v>21.280003637518224</v>
      </c>
      <c r="H12" s="26">
        <f t="shared" si="0"/>
        <v>22.7</v>
      </c>
      <c r="J12" s="60" t="s">
        <v>174</v>
      </c>
      <c r="K12" s="26">
        <f t="shared" si="1"/>
        <v>3.0744565540179352</v>
      </c>
      <c r="L12" s="26">
        <f t="shared" si="2"/>
        <v>1.4199963624817755</v>
      </c>
      <c r="M12" s="26">
        <f t="shared" si="3"/>
        <v>1.6544601915361596</v>
      </c>
      <c r="O12" s="60" t="s">
        <v>174</v>
      </c>
      <c r="P12" s="26">
        <f t="shared" si="4"/>
        <v>6.8999999999999986</v>
      </c>
      <c r="Q12" s="26">
        <f t="shared" si="5"/>
        <v>2.0700000000000003</v>
      </c>
      <c r="R12" s="26">
        <f t="shared" si="6"/>
        <v>4.8299999999999983</v>
      </c>
    </row>
    <row r="13" spans="1:18" x14ac:dyDescent="0.25">
      <c r="A13" s="25" t="s">
        <v>175</v>
      </c>
      <c r="B13" s="44">
        <v>15.85</v>
      </c>
      <c r="C13" s="44">
        <v>19.34</v>
      </c>
      <c r="D13" s="26">
        <v>22.63</v>
      </c>
      <c r="E13" s="26"/>
      <c r="F13" s="61">
        <f>$B13 * VLOOKUP(2025, tblCPI[], MATCH(INDEX(tblCPI_Map[CPI Region], MATCH($A13, tblCPI_Map[Census Division and State], 0)), tblCPI[[#Headers],[West]:[National]], 0)+1, FALSE) /VLOOKUP(2019, tblCPI[], MATCH(INDEX(tblCPI_Map[CPI Region], MATCH($A13, tblCPI_Map[Census Division and State], 0)), tblCPI[[#Headers],[West]:[National]], 0)+1, FALSE)</f>
        <v>19.687649596127574</v>
      </c>
      <c r="G13" s="61">
        <f>$C13 * VLOOKUP(2025, tblCPI[], MATCH(INDEX(tblCPI_Map[CPI Region], MATCH($A13, tblCPI_Map[Census Division and State], 0)), tblCPI[[#Headers],[West]:[National]], 0)+1, FALSE) /VLOOKUP(2024, tblCPI[], MATCH(INDEX(tblCPI_Map[CPI Region], MATCH($A13, tblCPI_Map[Census Division and State], 0)), tblCPI[[#Headers],[West]:[National]], 0)+1, FALSE)</f>
        <v>19.949358717867302</v>
      </c>
      <c r="H13" s="26">
        <f t="shared" si="0"/>
        <v>22.63</v>
      </c>
      <c r="J13" s="25" t="s">
        <v>175</v>
      </c>
      <c r="K13" s="26">
        <f t="shared" si="1"/>
        <v>2.9423504038724246</v>
      </c>
      <c r="L13" s="26">
        <f t="shared" si="2"/>
        <v>2.6806412821326973</v>
      </c>
      <c r="M13" s="26">
        <f t="shared" si="3"/>
        <v>0.26170912173972738</v>
      </c>
      <c r="O13" s="25" t="s">
        <v>175</v>
      </c>
      <c r="P13" s="26">
        <f t="shared" si="4"/>
        <v>6.7799999999999994</v>
      </c>
      <c r="Q13" s="26">
        <f t="shared" si="5"/>
        <v>3.2899999999999991</v>
      </c>
      <c r="R13" s="26">
        <f t="shared" si="6"/>
        <v>3.49</v>
      </c>
    </row>
    <row r="14" spans="1:18" x14ac:dyDescent="0.25">
      <c r="A14" s="25" t="s">
        <v>176</v>
      </c>
      <c r="B14" s="44">
        <v>17.940000000000001</v>
      </c>
      <c r="C14" s="44">
        <v>24.43</v>
      </c>
      <c r="D14" s="26">
        <v>26.39</v>
      </c>
      <c r="E14" s="26"/>
      <c r="F14" s="61">
        <f>$B14 * VLOOKUP(2025, tblCPI[], MATCH(INDEX(tblCPI_Map[CPI Region], MATCH($A14, tblCPI_Map[Census Division and State], 0)), tblCPI[[#Headers],[West]:[National]], 0)+1, FALSE) /VLOOKUP(2019, tblCPI[], MATCH(INDEX(tblCPI_Map[CPI Region], MATCH($A14, tblCPI_Map[Census Division and State], 0)), tblCPI[[#Headers],[West]:[National]], 0)+1, FALSE)</f>
        <v>22.283686672210017</v>
      </c>
      <c r="G14" s="61">
        <f>$C14 * VLOOKUP(2025, tblCPI[], MATCH(INDEX(tblCPI_Map[CPI Region], MATCH($A14, tblCPI_Map[Census Division and State], 0)), tblCPI[[#Headers],[West]:[National]], 0)+1, FALSE) /VLOOKUP(2024, tblCPI[], MATCH(INDEX(tblCPI_Map[CPI Region], MATCH($A14, tblCPI_Map[Census Division and State], 0)), tblCPI[[#Headers],[West]:[National]], 0)+1, FALSE)</f>
        <v>25.199732858195361</v>
      </c>
      <c r="H14" s="26">
        <f t="shared" si="0"/>
        <v>26.39</v>
      </c>
      <c r="J14" s="25" t="s">
        <v>176</v>
      </c>
      <c r="K14" s="26">
        <f t="shared" si="1"/>
        <v>4.1063133277899837</v>
      </c>
      <c r="L14" s="26">
        <f t="shared" si="2"/>
        <v>1.1902671418046396</v>
      </c>
      <c r="M14" s="26">
        <f t="shared" si="3"/>
        <v>2.9160461859853442</v>
      </c>
      <c r="O14" s="25" t="s">
        <v>176</v>
      </c>
      <c r="P14" s="26">
        <f t="shared" si="4"/>
        <v>8.4499999999999993</v>
      </c>
      <c r="Q14" s="26">
        <f t="shared" si="5"/>
        <v>1.9600000000000009</v>
      </c>
      <c r="R14" s="26">
        <f t="shared" si="6"/>
        <v>6.4899999999999984</v>
      </c>
    </row>
    <row r="15" spans="1:18" x14ac:dyDescent="0.25">
      <c r="A15" s="25" t="s">
        <v>177</v>
      </c>
      <c r="B15" s="44">
        <v>13.8</v>
      </c>
      <c r="C15" s="44">
        <v>17.77</v>
      </c>
      <c r="D15" s="26">
        <v>19.3</v>
      </c>
      <c r="E15" s="26"/>
      <c r="F15" s="61">
        <f>$B15 * VLOOKUP(2025, tblCPI[], MATCH(INDEX(tblCPI_Map[CPI Region], MATCH($A15, tblCPI_Map[Census Division and State], 0)), tblCPI[[#Headers],[West]:[National]], 0)+1, FALSE) /VLOOKUP(2019, tblCPI[], MATCH(INDEX(tblCPI_Map[CPI Region], MATCH($A15, tblCPI_Map[Census Division and State], 0)), tblCPI[[#Headers],[West]:[National]], 0)+1, FALSE)</f>
        <v>17.141297440161548</v>
      </c>
      <c r="G15" s="61">
        <f>$C15 * VLOOKUP(2025, tblCPI[], MATCH(INDEX(tblCPI_Map[CPI Region], MATCH($A15, tblCPI_Map[Census Division and State], 0)), tblCPI[[#Headers],[West]:[National]], 0)+1, FALSE) /VLOOKUP(2024, tblCPI[], MATCH(INDEX(tblCPI_Map[CPI Region], MATCH($A15, tblCPI_Map[Census Division and State], 0)), tblCPI[[#Headers],[West]:[National]], 0)+1, FALSE)</f>
        <v>18.329891645113857</v>
      </c>
      <c r="H15" s="26">
        <f t="shared" si="0"/>
        <v>19.3</v>
      </c>
      <c r="J15" s="25" t="s">
        <v>177</v>
      </c>
      <c r="K15" s="26">
        <f t="shared" si="1"/>
        <v>2.1587025598384528</v>
      </c>
      <c r="L15" s="26">
        <f t="shared" si="2"/>
        <v>0.97010835488614333</v>
      </c>
      <c r="M15" s="26">
        <f t="shared" si="3"/>
        <v>1.1885942049523095</v>
      </c>
      <c r="O15" s="25" t="s">
        <v>177</v>
      </c>
      <c r="P15" s="26">
        <f t="shared" si="4"/>
        <v>5.5</v>
      </c>
      <c r="Q15" s="26">
        <f t="shared" si="5"/>
        <v>1.5300000000000011</v>
      </c>
      <c r="R15" s="26">
        <f t="shared" si="6"/>
        <v>3.9699999999999989</v>
      </c>
    </row>
    <row r="16" spans="1:18" x14ac:dyDescent="0.25">
      <c r="A16" s="60" t="s">
        <v>178</v>
      </c>
      <c r="B16" s="44">
        <v>13.39</v>
      </c>
      <c r="C16" s="44">
        <v>16.48</v>
      </c>
      <c r="D16" s="26">
        <v>17.7</v>
      </c>
      <c r="E16" s="26"/>
      <c r="F16" s="61">
        <f>$B16 * VLOOKUP(2025, tblCPI[], MATCH(INDEX(tblCPI_Map[CPI Region], MATCH($A16, tblCPI_Map[Census Division and State], 0)), tblCPI[[#Headers],[West]:[National]], 0)+1, FALSE) /VLOOKUP(2019, tblCPI[], MATCH(INDEX(tblCPI_Map[CPI Region], MATCH($A16, tblCPI_Map[Census Division and State], 0)), tblCPI[[#Headers],[West]:[National]], 0)+1, FALSE)</f>
        <v>16.805808281744163</v>
      </c>
      <c r="G16" s="61">
        <f>$C16 * VLOOKUP(2025, tblCPI[], MATCH(INDEX(tblCPI_Map[CPI Region], MATCH($A16, tblCPI_Map[Census Division and State], 0)), tblCPI[[#Headers],[West]:[National]], 0)+1, FALSE) /VLOOKUP(2024, tblCPI[], MATCH(INDEX(tblCPI_Map[CPI Region], MATCH($A16, tblCPI_Map[Census Division and State], 0)), tblCPI[[#Headers],[West]:[National]], 0)+1, FALSE)</f>
        <v>16.937616971450218</v>
      </c>
      <c r="H16" s="26">
        <f t="shared" si="0"/>
        <v>17.7</v>
      </c>
      <c r="J16" s="60" t="s">
        <v>178</v>
      </c>
      <c r="K16" s="26">
        <f t="shared" si="1"/>
        <v>0.89419171825583632</v>
      </c>
      <c r="L16" s="26">
        <f t="shared" si="2"/>
        <v>0.76238302854978102</v>
      </c>
      <c r="M16" s="26">
        <f t="shared" si="3"/>
        <v>0.1318086897060553</v>
      </c>
      <c r="O16" s="60" t="s">
        <v>178</v>
      </c>
      <c r="P16" s="26">
        <f t="shared" si="4"/>
        <v>4.3099999999999987</v>
      </c>
      <c r="Q16" s="26">
        <f t="shared" si="5"/>
        <v>1.2199999999999989</v>
      </c>
      <c r="R16" s="26">
        <f t="shared" si="6"/>
        <v>3.09</v>
      </c>
    </row>
    <row r="17" spans="1:18" x14ac:dyDescent="0.25">
      <c r="A17" s="25" t="s">
        <v>179</v>
      </c>
      <c r="B17" s="44">
        <v>13.03</v>
      </c>
      <c r="C17" s="44">
        <v>15.87</v>
      </c>
      <c r="D17" s="26">
        <v>17.690000000000001</v>
      </c>
      <c r="E17" s="26"/>
      <c r="F17" s="61">
        <f>$B17 * VLOOKUP(2025, tblCPI[], MATCH(INDEX(tblCPI_Map[CPI Region], MATCH($A17, tblCPI_Map[Census Division and State], 0)), tblCPI[[#Headers],[West]:[National]], 0)+1, FALSE) /VLOOKUP(2019, tblCPI[], MATCH(INDEX(tblCPI_Map[CPI Region], MATCH($A17, tblCPI_Map[Census Division and State], 0)), tblCPI[[#Headers],[West]:[National]], 0)+1, FALSE)</f>
        <v>16.353971763340283</v>
      </c>
      <c r="G17" s="61">
        <f>$C17 * VLOOKUP(2025, tblCPI[], MATCH(INDEX(tblCPI_Map[CPI Region], MATCH($A17, tblCPI_Map[Census Division and State], 0)), tblCPI[[#Headers],[West]:[National]], 0)+1, FALSE) /VLOOKUP(2024, tblCPI[], MATCH(INDEX(tblCPI_Map[CPI Region], MATCH($A17, tblCPI_Map[Census Division and State], 0)), tblCPI[[#Headers],[West]:[National]], 0)+1, FALSE)</f>
        <v>16.310678479181732</v>
      </c>
      <c r="H17" s="26">
        <f t="shared" si="0"/>
        <v>17.690000000000001</v>
      </c>
      <c r="J17" s="25" t="s">
        <v>179</v>
      </c>
      <c r="K17" s="26">
        <f t="shared" si="1"/>
        <v>1.3360282366597183</v>
      </c>
      <c r="L17" s="26">
        <f t="shared" si="2"/>
        <v>1.3793215208182694</v>
      </c>
      <c r="M17" s="26">
        <f t="shared" si="3"/>
        <v>-4.329328415855116E-2</v>
      </c>
      <c r="O17" s="25" t="s">
        <v>179</v>
      </c>
      <c r="P17" s="26">
        <f t="shared" si="4"/>
        <v>4.6600000000000019</v>
      </c>
      <c r="Q17" s="26">
        <f t="shared" si="5"/>
        <v>1.8200000000000021</v>
      </c>
      <c r="R17" s="26">
        <f t="shared" si="6"/>
        <v>2.84</v>
      </c>
    </row>
    <row r="18" spans="1:18" x14ac:dyDescent="0.25">
      <c r="A18" s="25" t="s">
        <v>180</v>
      </c>
      <c r="B18" s="44">
        <v>12.58</v>
      </c>
      <c r="C18" s="44">
        <v>14.77</v>
      </c>
      <c r="D18" s="26">
        <v>16.23</v>
      </c>
      <c r="E18" s="26"/>
      <c r="F18" s="61">
        <f>$B18 * VLOOKUP(2025, tblCPI[], MATCH(INDEX(tblCPI_Map[CPI Region], MATCH($A18, tblCPI_Map[Census Division and State], 0)), tblCPI[[#Headers],[West]:[National]], 0)+1, FALSE) /VLOOKUP(2019, tblCPI[], MATCH(INDEX(tblCPI_Map[CPI Region], MATCH($A18, tblCPI_Map[Census Division and State], 0)), tblCPI[[#Headers],[West]:[National]], 0)+1, FALSE)</f>
        <v>15.78917611533544</v>
      </c>
      <c r="G18" s="61">
        <f>$C18 * VLOOKUP(2025, tblCPI[], MATCH(INDEX(tblCPI_Map[CPI Region], MATCH($A18, tblCPI_Map[Census Division and State], 0)), tblCPI[[#Headers],[West]:[National]], 0)+1, FALSE) /VLOOKUP(2024, tblCPI[], MATCH(INDEX(tblCPI_Map[CPI Region], MATCH($A18, tblCPI_Map[Census Division and State], 0)), tblCPI[[#Headers],[West]:[National]], 0)+1, FALSE)</f>
        <v>15.180133657058237</v>
      </c>
      <c r="H18" s="26">
        <f t="shared" si="0"/>
        <v>16.23</v>
      </c>
      <c r="J18" s="25" t="s">
        <v>180</v>
      </c>
      <c r="K18" s="26">
        <f t="shared" si="1"/>
        <v>0.44082388466456024</v>
      </c>
      <c r="L18" s="26">
        <f t="shared" si="2"/>
        <v>1.0498663429417636</v>
      </c>
      <c r="M18" s="26">
        <f t="shared" si="3"/>
        <v>-0.60904245827720338</v>
      </c>
      <c r="O18" s="25" t="s">
        <v>180</v>
      </c>
      <c r="P18" s="26">
        <f t="shared" si="4"/>
        <v>3.6500000000000004</v>
      </c>
      <c r="Q18" s="26">
        <f t="shared" si="5"/>
        <v>1.4600000000000009</v>
      </c>
      <c r="R18" s="26">
        <f t="shared" si="6"/>
        <v>2.1899999999999995</v>
      </c>
    </row>
    <row r="19" spans="1:18" x14ac:dyDescent="0.25">
      <c r="A19" s="25" t="s">
        <v>181</v>
      </c>
      <c r="B19" s="44">
        <v>15.74</v>
      </c>
      <c r="C19" s="44">
        <v>19.3</v>
      </c>
      <c r="D19" s="26">
        <v>20.010000000000002</v>
      </c>
      <c r="E19" s="26"/>
      <c r="F19" s="61">
        <f>$B19 * VLOOKUP(2025, tblCPI[], MATCH(INDEX(tblCPI_Map[CPI Region], MATCH($A19, tblCPI_Map[Census Division and State], 0)), tblCPI[[#Headers],[West]:[National]], 0)+1, FALSE) /VLOOKUP(2019, tblCPI[], MATCH(INDEX(tblCPI_Map[CPI Region], MATCH($A19, tblCPI_Map[Census Division and State], 0)), tblCPI[[#Headers],[West]:[National]], 0)+1, FALSE)</f>
        <v>19.755296665769464</v>
      </c>
      <c r="G19" s="61">
        <f>$C19 * VLOOKUP(2025, tblCPI[], MATCH(INDEX(tblCPI_Map[CPI Region], MATCH($A19, tblCPI_Map[Census Division and State], 0)), tblCPI[[#Headers],[West]:[National]], 0)+1, FALSE) /VLOOKUP(2024, tblCPI[], MATCH(INDEX(tblCPI_Map[CPI Region], MATCH($A19, tblCPI_Map[Census Division and State], 0)), tblCPI[[#Headers],[West]:[National]], 0)+1, FALSE)</f>
        <v>19.835922788166823</v>
      </c>
      <c r="H19" s="26">
        <f t="shared" si="0"/>
        <v>20.010000000000002</v>
      </c>
      <c r="J19" s="25" t="s">
        <v>181</v>
      </c>
      <c r="K19" s="26">
        <f t="shared" si="1"/>
        <v>0.25470333423053759</v>
      </c>
      <c r="L19" s="26">
        <f t="shared" si="2"/>
        <v>0.17407721183317904</v>
      </c>
      <c r="M19" s="26">
        <f t="shared" si="3"/>
        <v>8.0626122397358557E-2</v>
      </c>
      <c r="O19" s="25" t="s">
        <v>181</v>
      </c>
      <c r="P19" s="26">
        <f t="shared" si="4"/>
        <v>4.2700000000000014</v>
      </c>
      <c r="Q19" s="26">
        <f t="shared" si="5"/>
        <v>0.71000000000000085</v>
      </c>
      <c r="R19" s="26">
        <f t="shared" si="6"/>
        <v>3.5600000000000005</v>
      </c>
    </row>
    <row r="20" spans="1:18" x14ac:dyDescent="0.25">
      <c r="A20" s="25" t="s">
        <v>182</v>
      </c>
      <c r="B20" s="44">
        <v>12.38</v>
      </c>
      <c r="C20" s="44">
        <v>15.99</v>
      </c>
      <c r="D20" s="26">
        <v>16.96</v>
      </c>
      <c r="E20" s="44"/>
      <c r="F20" s="61">
        <f>$B20 * VLOOKUP(2025, tblCPI[], MATCH(INDEX(tblCPI_Map[CPI Region], MATCH($A20, tblCPI_Map[Census Division and State], 0)), tblCPI[[#Headers],[West]:[National]], 0)+1, FALSE) /VLOOKUP(2019, tblCPI[], MATCH(INDEX(tblCPI_Map[CPI Region], MATCH($A20, tblCPI_Map[Census Division and State], 0)), tblCPI[[#Headers],[West]:[National]], 0)+1, FALSE)</f>
        <v>15.53815582733329</v>
      </c>
      <c r="G20" s="61">
        <f>$C20 * VLOOKUP(2025, tblCPI[], MATCH(INDEX(tblCPI_Map[CPI Region], MATCH($A20, tblCPI_Map[Census Division and State], 0)), tblCPI[[#Headers],[West]:[National]], 0)+1, FALSE) /VLOOKUP(2024, tblCPI[], MATCH(INDEX(tblCPI_Map[CPI Region], MATCH($A20, tblCPI_Map[Census Division and State], 0)), tblCPI[[#Headers],[West]:[National]], 0)+1, FALSE)</f>
        <v>16.434010641595204</v>
      </c>
      <c r="H20" s="26">
        <f t="shared" si="0"/>
        <v>16.96</v>
      </c>
      <c r="J20" s="25" t="s">
        <v>182</v>
      </c>
      <c r="K20" s="26">
        <f t="shared" si="1"/>
        <v>1.4218441726667113</v>
      </c>
      <c r="L20" s="26">
        <f t="shared" si="2"/>
        <v>0.52598935840479655</v>
      </c>
      <c r="M20" s="26">
        <f t="shared" si="3"/>
        <v>0.89585481426191471</v>
      </c>
      <c r="O20" s="25" t="s">
        <v>182</v>
      </c>
      <c r="P20" s="26">
        <f t="shared" si="4"/>
        <v>4.58</v>
      </c>
      <c r="Q20" s="26">
        <f t="shared" si="5"/>
        <v>0.97000000000000064</v>
      </c>
      <c r="R20" s="26">
        <f t="shared" si="6"/>
        <v>3.6099999999999994</v>
      </c>
    </row>
    <row r="21" spans="1:18" x14ac:dyDescent="0.25">
      <c r="A21" s="25" t="s">
        <v>185</v>
      </c>
      <c r="B21" s="44">
        <v>14.18</v>
      </c>
      <c r="C21" s="44">
        <v>17.18</v>
      </c>
      <c r="D21" s="26">
        <v>18.16</v>
      </c>
      <c r="E21" s="44"/>
      <c r="F21" s="61">
        <f>$B21 * VLOOKUP(2025, tblCPI[], MATCH(INDEX(tblCPI_Map[CPI Region], MATCH($A21, tblCPI_Map[Census Division and State], 0)), tblCPI[[#Headers],[West]:[National]], 0)+1, FALSE) /VLOOKUP(2019, tblCPI[], MATCH(INDEX(tblCPI_Map[CPI Region], MATCH($A21, tblCPI_Map[Census Division and State], 0)), tblCPI[[#Headers],[West]:[National]], 0)+1, FALSE)</f>
        <v>17.797338419352666</v>
      </c>
      <c r="G21" s="61">
        <f>$C21 * VLOOKUP(2025, tblCPI[], MATCH(INDEX(tblCPI_Map[CPI Region], MATCH($A21, tblCPI_Map[Census Division and State], 0)), tblCPI[[#Headers],[West]:[National]], 0)+1, FALSE) /VLOOKUP(2024, tblCPI[], MATCH(INDEX(tblCPI_Map[CPI Region], MATCH($A21, tblCPI_Map[Census Division and State], 0)), tblCPI[[#Headers],[West]:[National]], 0)+1, FALSE)</f>
        <v>17.657054585528805</v>
      </c>
      <c r="H21" s="26">
        <f t="shared" si="0"/>
        <v>18.16</v>
      </c>
      <c r="J21" s="25" t="s">
        <v>185</v>
      </c>
      <c r="K21" s="26">
        <f t="shared" si="1"/>
        <v>0.36266158064733389</v>
      </c>
      <c r="L21" s="26">
        <f t="shared" si="2"/>
        <v>0.50294541447119556</v>
      </c>
      <c r="M21" s="26">
        <f t="shared" si="3"/>
        <v>-0.14028383382386167</v>
      </c>
      <c r="O21" s="25" t="s">
        <v>185</v>
      </c>
      <c r="P21" s="26">
        <f t="shared" si="4"/>
        <v>3.9800000000000004</v>
      </c>
      <c r="Q21" s="26">
        <f t="shared" si="5"/>
        <v>0.98000000000000043</v>
      </c>
      <c r="R21" s="26">
        <f t="shared" si="6"/>
        <v>3</v>
      </c>
    </row>
    <row r="22" spans="1:18" x14ac:dyDescent="0.25">
      <c r="A22" s="60" t="s">
        <v>188</v>
      </c>
      <c r="B22" s="44">
        <v>11.86</v>
      </c>
      <c r="C22" s="44">
        <v>13.47</v>
      </c>
      <c r="D22" s="26">
        <v>13.95</v>
      </c>
      <c r="E22" s="44"/>
      <c r="F22" s="61">
        <f>$B22 * VLOOKUP(2025, tblCPI[], MATCH(INDEX(tblCPI_Map[CPI Region], MATCH($A22, tblCPI_Map[Census Division and State], 0)), tblCPI[[#Headers],[West]:[National]], 0)+1, FALSE) /VLOOKUP(2019, tblCPI[], MATCH(INDEX(tblCPI_Map[CPI Region], MATCH($A22, tblCPI_Map[Census Division and State], 0)), tblCPI[[#Headers],[West]:[National]], 0)+1, FALSE)</f>
        <v>14.885503078527689</v>
      </c>
      <c r="G22" s="61">
        <f>$C22 * VLOOKUP(2025, tblCPI[], MATCH(INDEX(tblCPI_Map[CPI Region], MATCH($A22, tblCPI_Map[Census Division and State], 0)), tblCPI[[#Headers],[West]:[National]], 0)+1, FALSE) /VLOOKUP(2024, tblCPI[], MATCH(INDEX(tblCPI_Map[CPI Region], MATCH($A22, tblCPI_Map[Census Division and State], 0)), tblCPI[[#Headers],[West]:[National]], 0)+1, FALSE)</f>
        <v>13.844035230912285</v>
      </c>
      <c r="H22" s="26">
        <f t="shared" si="0"/>
        <v>13.95</v>
      </c>
      <c r="J22" s="60" t="s">
        <v>188</v>
      </c>
      <c r="K22" s="26">
        <f t="shared" si="1"/>
        <v>-0.93550307852768988</v>
      </c>
      <c r="L22" s="26">
        <f t="shared" si="2"/>
        <v>0.10596476908771457</v>
      </c>
      <c r="M22" s="26">
        <f t="shared" si="3"/>
        <v>-1.0414678476154045</v>
      </c>
      <c r="O22" s="60" t="s">
        <v>188</v>
      </c>
      <c r="P22" s="26">
        <f t="shared" si="4"/>
        <v>2.09</v>
      </c>
      <c r="Q22" s="26">
        <f t="shared" si="5"/>
        <v>0.47999999999999865</v>
      </c>
      <c r="R22" s="26">
        <f t="shared" si="6"/>
        <v>1.6100000000000012</v>
      </c>
    </row>
    <row r="23" spans="1:18" x14ac:dyDescent="0.25">
      <c r="A23" s="25" t="s">
        <v>191</v>
      </c>
      <c r="B23" s="44">
        <v>12.46</v>
      </c>
      <c r="C23" s="44">
        <v>13.4</v>
      </c>
      <c r="D23" s="26">
        <v>13.72</v>
      </c>
      <c r="E23" s="44"/>
      <c r="F23" s="61">
        <f>$B23 * VLOOKUP(2025, tblCPI[], MATCH(INDEX(tblCPI_Map[CPI Region], MATCH($A23, tblCPI_Map[Census Division and State], 0)), tblCPI[[#Headers],[West]:[National]], 0)+1, FALSE) /VLOOKUP(2019, tblCPI[], MATCH(INDEX(tblCPI_Map[CPI Region], MATCH($A23, tblCPI_Map[Census Division and State], 0)), tblCPI[[#Headers],[West]:[National]], 0)+1, FALSE)</f>
        <v>15.63856394253415</v>
      </c>
      <c r="G23" s="61">
        <f>$C23 * VLOOKUP(2025, tblCPI[], MATCH(INDEX(tblCPI_Map[CPI Region], MATCH($A23, tblCPI_Map[Census Division and State], 0)), tblCPI[[#Headers],[West]:[National]], 0)+1, FALSE) /VLOOKUP(2024, tblCPI[], MATCH(INDEX(tblCPI_Map[CPI Region], MATCH($A23, tblCPI_Map[Census Division and State], 0)), tblCPI[[#Headers],[West]:[National]], 0)+1, FALSE)</f>
        <v>13.772091469504424</v>
      </c>
      <c r="H23" s="26">
        <f t="shared" si="0"/>
        <v>13.72</v>
      </c>
      <c r="J23" s="25" t="s">
        <v>191</v>
      </c>
      <c r="K23" s="26">
        <f t="shared" si="1"/>
        <v>-1.9185639425341492</v>
      </c>
      <c r="L23" s="26">
        <f t="shared" si="2"/>
        <v>-5.2091469504423671E-2</v>
      </c>
      <c r="M23" s="26">
        <f t="shared" si="3"/>
        <v>-1.8664724730297255</v>
      </c>
      <c r="O23" s="25" t="s">
        <v>191</v>
      </c>
      <c r="P23" s="26">
        <f t="shared" si="4"/>
        <v>1.2599999999999998</v>
      </c>
      <c r="Q23" s="26">
        <f t="shared" si="5"/>
        <v>0.32000000000000028</v>
      </c>
      <c r="R23" s="26">
        <f t="shared" si="6"/>
        <v>0.9399999999999995</v>
      </c>
    </row>
    <row r="24" spans="1:18" x14ac:dyDescent="0.25">
      <c r="A24" s="25" t="s">
        <v>193</v>
      </c>
      <c r="B24" s="44">
        <v>12.71</v>
      </c>
      <c r="C24" s="44">
        <v>14.15</v>
      </c>
      <c r="D24" s="26">
        <v>14.56</v>
      </c>
      <c r="E24" s="44"/>
      <c r="F24" s="61">
        <f>$B24 * VLOOKUP(2025, tblCPI[], MATCH(INDEX(tblCPI_Map[CPI Region], MATCH($A24, tblCPI_Map[Census Division and State], 0)), tblCPI[[#Headers],[West]:[National]], 0)+1, FALSE) /VLOOKUP(2019, tblCPI[], MATCH(INDEX(tblCPI_Map[CPI Region], MATCH($A24, tblCPI_Map[Census Division and State], 0)), tblCPI[[#Headers],[West]:[National]], 0)+1, FALSE)</f>
        <v>15.952339302536842</v>
      </c>
      <c r="G24" s="61">
        <f>$C24 * VLOOKUP(2025, tblCPI[], MATCH(INDEX(tblCPI_Map[CPI Region], MATCH($A24, tblCPI_Map[Census Division and State], 0)), tblCPI[[#Headers],[West]:[National]], 0)+1, FALSE) /VLOOKUP(2024, tblCPI[], MATCH(INDEX(tblCPI_Map[CPI Region], MATCH($A24, tblCPI_Map[Census Division and State], 0)), tblCPI[[#Headers],[West]:[National]], 0)+1, FALSE)</f>
        <v>14.542917484588626</v>
      </c>
      <c r="H24" s="26">
        <f t="shared" si="0"/>
        <v>14.56</v>
      </c>
      <c r="J24" s="25" t="s">
        <v>193</v>
      </c>
      <c r="K24" s="26">
        <f t="shared" si="1"/>
        <v>-1.3923393025368416</v>
      </c>
      <c r="L24" s="26">
        <f t="shared" si="2"/>
        <v>1.7082515411374288E-2</v>
      </c>
      <c r="M24" s="26">
        <f t="shared" si="3"/>
        <v>-1.4094218179482159</v>
      </c>
      <c r="O24" s="25" t="s">
        <v>193</v>
      </c>
      <c r="P24" s="26">
        <f t="shared" si="4"/>
        <v>1.8499999999999996</v>
      </c>
      <c r="Q24" s="26">
        <f t="shared" si="5"/>
        <v>0.41000000000000014</v>
      </c>
      <c r="R24" s="26">
        <f t="shared" si="6"/>
        <v>1.4399999999999995</v>
      </c>
    </row>
    <row r="25" spans="1:18" x14ac:dyDescent="0.25">
      <c r="A25" s="25" t="s">
        <v>195</v>
      </c>
      <c r="B25" s="44">
        <v>13.04</v>
      </c>
      <c r="C25" s="44">
        <v>15.45</v>
      </c>
      <c r="D25" s="26">
        <v>15.82</v>
      </c>
      <c r="E25" s="44"/>
      <c r="F25" s="61">
        <f>$B25 * VLOOKUP(2025, tblCPI[], MATCH(INDEX(tblCPI_Map[CPI Region], MATCH($A25, tblCPI_Map[Census Division and State], 0)), tblCPI[[#Headers],[West]:[National]], 0)+1, FALSE) /VLOOKUP(2019, tblCPI[], MATCH(INDEX(tblCPI_Map[CPI Region], MATCH($A25, tblCPI_Map[Census Division and State], 0)), tblCPI[[#Headers],[West]:[National]], 0)+1, FALSE)</f>
        <v>16.366522777740393</v>
      </c>
      <c r="G25" s="61">
        <f>$C25 * VLOOKUP(2025, tblCPI[], MATCH(INDEX(tblCPI_Map[CPI Region], MATCH($A25, tblCPI_Map[Census Division and State], 0)), tblCPI[[#Headers],[West]:[National]], 0)+1, FALSE) /VLOOKUP(2024, tblCPI[], MATCH(INDEX(tblCPI_Map[CPI Region], MATCH($A25, tblCPI_Map[Census Division and State], 0)), tblCPI[[#Headers],[West]:[National]], 0)+1, FALSE)</f>
        <v>15.87901591073458</v>
      </c>
      <c r="H25" s="26">
        <f t="shared" si="0"/>
        <v>15.82</v>
      </c>
      <c r="J25" s="25" t="s">
        <v>195</v>
      </c>
      <c r="K25" s="26">
        <f t="shared" si="1"/>
        <v>-0.54652277774039248</v>
      </c>
      <c r="L25" s="26">
        <f t="shared" si="2"/>
        <v>-5.9015910734579791E-2</v>
      </c>
      <c r="M25" s="26">
        <f t="shared" si="3"/>
        <v>-0.48750686700581269</v>
      </c>
      <c r="O25" s="25" t="s">
        <v>195</v>
      </c>
      <c r="P25" s="26">
        <f t="shared" si="4"/>
        <v>2.7800000000000011</v>
      </c>
      <c r="Q25" s="26">
        <f t="shared" si="5"/>
        <v>0.37000000000000099</v>
      </c>
      <c r="R25" s="26">
        <f t="shared" si="6"/>
        <v>2.41</v>
      </c>
    </row>
    <row r="26" spans="1:18" x14ac:dyDescent="0.25">
      <c r="A26" s="25" t="s">
        <v>196</v>
      </c>
      <c r="B26" s="44">
        <v>11.14</v>
      </c>
      <c r="C26" s="44">
        <v>12.91</v>
      </c>
      <c r="D26" s="26">
        <v>13.49</v>
      </c>
      <c r="E26" s="44"/>
      <c r="F26" s="61">
        <f>$B26 * VLOOKUP(2025, tblCPI[], MATCH(INDEX(tblCPI_Map[CPI Region], MATCH($A26, tblCPI_Map[Census Division and State], 0)), tblCPI[[#Headers],[West]:[National]], 0)+1, FALSE) /VLOOKUP(2019, tblCPI[], MATCH(INDEX(tblCPI_Map[CPI Region], MATCH($A26, tblCPI_Map[Census Division and State], 0)), tblCPI[[#Headers],[West]:[National]], 0)+1, FALSE)</f>
        <v>13.981830041719936</v>
      </c>
      <c r="G26" s="61">
        <f>$C26 * VLOOKUP(2025, tblCPI[], MATCH(INDEX(tblCPI_Map[CPI Region], MATCH($A26, tblCPI_Map[Census Division and State], 0)), tblCPI[[#Headers],[West]:[National]], 0)+1, FALSE) /VLOOKUP(2024, tblCPI[], MATCH(INDEX(tblCPI_Map[CPI Region], MATCH($A26, tblCPI_Map[Census Division and State], 0)), tblCPI[[#Headers],[West]:[National]], 0)+1, FALSE)</f>
        <v>13.268485139649414</v>
      </c>
      <c r="H26" s="26">
        <f t="shared" si="0"/>
        <v>13.49</v>
      </c>
      <c r="J26" s="25" t="s">
        <v>196</v>
      </c>
      <c r="K26" s="26">
        <f t="shared" si="1"/>
        <v>-0.49183004171993616</v>
      </c>
      <c r="L26" s="26">
        <f t="shared" si="2"/>
        <v>0.22151486035058632</v>
      </c>
      <c r="M26" s="26">
        <f t="shared" si="3"/>
        <v>-0.71334490207052248</v>
      </c>
      <c r="O26" s="25" t="s">
        <v>196</v>
      </c>
      <c r="P26" s="26">
        <f t="shared" si="4"/>
        <v>2.3499999999999996</v>
      </c>
      <c r="Q26" s="26">
        <f t="shared" si="5"/>
        <v>0.58000000000000007</v>
      </c>
      <c r="R26" s="26">
        <f t="shared" si="6"/>
        <v>1.7699999999999996</v>
      </c>
    </row>
    <row r="27" spans="1:18" x14ac:dyDescent="0.25">
      <c r="A27" s="25" t="s">
        <v>199</v>
      </c>
      <c r="B27" s="44">
        <v>10.77</v>
      </c>
      <c r="C27" s="44">
        <v>11.53</v>
      </c>
      <c r="D27" s="26">
        <v>12.34</v>
      </c>
      <c r="E27" s="44"/>
      <c r="F27" s="61">
        <f>$B27 * VLOOKUP(2025, tblCPI[], MATCH(INDEX(tblCPI_Map[CPI Region], MATCH($A27, tblCPI_Map[Census Division and State], 0)), tblCPI[[#Headers],[West]:[National]], 0)+1, FALSE) /VLOOKUP(2019, tblCPI[], MATCH(INDEX(tblCPI_Map[CPI Region], MATCH($A27, tblCPI_Map[Census Division and State], 0)), tblCPI[[#Headers],[West]:[National]], 0)+1, FALSE)</f>
        <v>13.517442508915952</v>
      </c>
      <c r="G27" s="62">
        <f>$C27 * VLOOKUP(2025, tblCPI[], MATCH(INDEX(tblCPI_Map[CPI Region], MATCH($A27, tblCPI_Map[Census Division and State], 0)), tblCPI[[#Headers],[West]:[National]], 0)+1, FALSE) /VLOOKUP(2024, tblCPI[], MATCH(INDEX(tblCPI_Map[CPI Region], MATCH($A27, tblCPI_Map[Census Division and State], 0)), tblCPI[[#Headers],[West]:[National]], 0)+1, FALSE)</f>
        <v>11.850165271894479</v>
      </c>
      <c r="H27" s="26">
        <f t="shared" si="0"/>
        <v>12.34</v>
      </c>
      <c r="J27" s="25" t="s">
        <v>199</v>
      </c>
      <c r="K27" s="26">
        <f t="shared" si="1"/>
        <v>-1.1774425089159521</v>
      </c>
      <c r="L27" s="26">
        <f t="shared" si="2"/>
        <v>0.48983472810552087</v>
      </c>
      <c r="M27" s="26">
        <f t="shared" si="3"/>
        <v>-1.667277237021473</v>
      </c>
      <c r="O27" s="25" t="s">
        <v>199</v>
      </c>
      <c r="P27" s="26">
        <f t="shared" si="4"/>
        <v>1.5700000000000003</v>
      </c>
      <c r="Q27" s="26">
        <f t="shared" si="5"/>
        <v>0.8100000000000005</v>
      </c>
      <c r="R27" s="26">
        <f t="shared" si="6"/>
        <v>0.75999999999999979</v>
      </c>
    </row>
    <row r="28" spans="1:18" x14ac:dyDescent="0.25">
      <c r="A28" s="25" t="s">
        <v>201</v>
      </c>
      <c r="B28" s="44">
        <v>10.3</v>
      </c>
      <c r="C28" s="44">
        <v>11.51</v>
      </c>
      <c r="D28" s="26">
        <v>11.81</v>
      </c>
      <c r="E28" s="44"/>
      <c r="F28" s="61">
        <f>$B28 * VLOOKUP(2025, tblCPI[], MATCH(INDEX(tblCPI_Map[CPI Region], MATCH($A28, tblCPI_Map[Census Division and State], 0)), tblCPI[[#Headers],[West]:[National]], 0)+1, FALSE) /VLOOKUP(2019, tblCPI[], MATCH(INDEX(tblCPI_Map[CPI Region], MATCH($A28, tblCPI_Map[Census Division and State], 0)), tblCPI[[#Headers],[West]:[National]], 0)+1, FALSE)</f>
        <v>12.927544832110893</v>
      </c>
      <c r="G28" s="61">
        <f>$C28 * VLOOKUP(2025, tblCPI[], MATCH(INDEX(tblCPI_Map[CPI Region], MATCH($A28, tblCPI_Map[Census Division and State], 0)), tblCPI[[#Headers],[West]:[National]], 0)+1, FALSE) /VLOOKUP(2024, tblCPI[], MATCH(INDEX(tblCPI_Map[CPI Region], MATCH($A28, tblCPI_Map[Census Division and State], 0)), tblCPI[[#Headers],[West]:[National]], 0)+1, FALSE)</f>
        <v>11.829609911492232</v>
      </c>
      <c r="H28" s="26">
        <f t="shared" si="0"/>
        <v>11.81</v>
      </c>
      <c r="J28" s="25" t="s">
        <v>201</v>
      </c>
      <c r="K28" s="26">
        <f t="shared" si="1"/>
        <v>-1.1175448321108927</v>
      </c>
      <c r="L28" s="26">
        <f t="shared" si="2"/>
        <v>-1.9609911492231902E-2</v>
      </c>
      <c r="M28" s="26">
        <f t="shared" si="3"/>
        <v>-1.0979349206186608</v>
      </c>
      <c r="O28" s="25" t="s">
        <v>201</v>
      </c>
      <c r="P28" s="26">
        <f t="shared" si="4"/>
        <v>1.5099999999999998</v>
      </c>
      <c r="Q28" s="26">
        <f t="shared" si="5"/>
        <v>0.30000000000000071</v>
      </c>
      <c r="R28" s="26">
        <f t="shared" si="6"/>
        <v>1.2099999999999991</v>
      </c>
    </row>
    <row r="29" spans="1:18" x14ac:dyDescent="0.25">
      <c r="A29" s="25" t="s">
        <v>203</v>
      </c>
      <c r="B29" s="44">
        <v>11.55</v>
      </c>
      <c r="C29" s="44">
        <v>12.86</v>
      </c>
      <c r="D29" s="26">
        <v>13.38</v>
      </c>
      <c r="E29" s="44"/>
      <c r="F29" s="61">
        <f>$B29 * VLOOKUP(2025, tblCPI[], MATCH(INDEX(tblCPI_Map[CPI Region], MATCH($A29, tblCPI_Map[Census Division and State], 0)), tblCPI[[#Headers],[West]:[National]], 0)+1, FALSE) /VLOOKUP(2019, tblCPI[], MATCH(INDEX(tblCPI_Map[CPI Region], MATCH($A29, tblCPI_Map[Census Division and State], 0)), tblCPI[[#Headers],[West]:[National]], 0)+1, FALSE)</f>
        <v>14.496421632124353</v>
      </c>
      <c r="G29" s="61">
        <f>$C29 * VLOOKUP(2025, tblCPI[], MATCH(INDEX(tblCPI_Map[CPI Region], MATCH($A29, tblCPI_Map[Census Division and State], 0)), tblCPI[[#Headers],[West]:[National]], 0)+1, FALSE) /VLOOKUP(2024, tblCPI[], MATCH(INDEX(tblCPI_Map[CPI Region], MATCH($A29, tblCPI_Map[Census Division and State], 0)), tblCPI[[#Headers],[West]:[National]], 0)+1, FALSE)</f>
        <v>13.217096738643798</v>
      </c>
      <c r="H29" s="26">
        <f t="shared" si="0"/>
        <v>13.38</v>
      </c>
      <c r="J29" s="25" t="s">
        <v>203</v>
      </c>
      <c r="K29" s="26">
        <f t="shared" si="1"/>
        <v>-1.1164216321243519</v>
      </c>
      <c r="L29" s="26">
        <f t="shared" si="2"/>
        <v>0.16290326135620248</v>
      </c>
      <c r="M29" s="26">
        <f t="shared" si="3"/>
        <v>-1.2793248934805543</v>
      </c>
      <c r="O29" s="25" t="s">
        <v>203</v>
      </c>
      <c r="P29" s="26">
        <f t="shared" si="4"/>
        <v>1.83</v>
      </c>
      <c r="Q29" s="26">
        <f t="shared" si="5"/>
        <v>0.52000000000000135</v>
      </c>
      <c r="R29" s="26">
        <f t="shared" si="6"/>
        <v>1.3099999999999987</v>
      </c>
    </row>
    <row r="30" spans="1:18" x14ac:dyDescent="0.25">
      <c r="A30" s="60" t="s">
        <v>204</v>
      </c>
      <c r="B30" s="44">
        <v>11.93</v>
      </c>
      <c r="C30" s="44">
        <v>14.51</v>
      </c>
      <c r="D30" s="26">
        <v>15.31</v>
      </c>
      <c r="E30" s="44"/>
      <c r="F30" s="61">
        <f>$B30 * VLOOKUP(2025, tblCPI[], MATCH(INDEX(tblCPI_Map[CPI Region], MATCH($A30, tblCPI_Map[Census Division and State], 0)), tblCPI[[#Headers],[West]:[National]], 0)+1, FALSE) /VLOOKUP(2019, tblCPI[], MATCH(INDEX(tblCPI_Map[CPI Region], MATCH($A30, tblCPI_Map[Census Division and State], 0)), tblCPI[[#Headers],[West]:[National]], 0)+1, FALSE)</f>
        <v>15.114304549976652</v>
      </c>
      <c r="G30" s="61">
        <f>$C30 * VLOOKUP(2025, tblCPI[], MATCH(INDEX(tblCPI_Map[CPI Region], MATCH($A30, tblCPI_Map[Census Division and State], 0)), tblCPI[[#Headers],[West]:[National]], 0)+1, FALSE) /VLOOKUP(2024, tblCPI[], MATCH(INDEX(tblCPI_Map[CPI Region], MATCH($A30, tblCPI_Map[Census Division and State], 0)), tblCPI[[#Headers],[West]:[National]], 0)+1, FALSE)</f>
        <v>14.833778863450933</v>
      </c>
      <c r="H30" s="26">
        <f t="shared" si="0"/>
        <v>15.31</v>
      </c>
      <c r="J30" s="60" t="s">
        <v>204</v>
      </c>
      <c r="K30" s="26">
        <f t="shared" si="1"/>
        <v>0.19569545002334898</v>
      </c>
      <c r="L30" s="26">
        <f t="shared" si="2"/>
        <v>0.47622113654906784</v>
      </c>
      <c r="M30" s="26">
        <f t="shared" si="3"/>
        <v>-0.28052568652571885</v>
      </c>
      <c r="O30" s="60" t="s">
        <v>204</v>
      </c>
      <c r="P30" s="26">
        <f t="shared" si="4"/>
        <v>3.3800000000000008</v>
      </c>
      <c r="Q30" s="26">
        <f t="shared" si="5"/>
        <v>0.80000000000000071</v>
      </c>
      <c r="R30" s="26">
        <f t="shared" si="6"/>
        <v>2.58</v>
      </c>
    </row>
    <row r="31" spans="1:18" x14ac:dyDescent="0.25">
      <c r="A31" s="25" t="s">
        <v>207</v>
      </c>
      <c r="B31" s="44">
        <v>12.55</v>
      </c>
      <c r="C31" s="44">
        <v>16.57</v>
      </c>
      <c r="D31" s="26">
        <v>17.13</v>
      </c>
      <c r="E31" s="44"/>
      <c r="F31" s="61">
        <f>$B31 * VLOOKUP(2025, tblCPI[], MATCH(INDEX(tblCPI_Map[CPI Region], MATCH($A31, tblCPI_Map[Census Division and State], 0)), tblCPI[[#Headers],[West]:[National]], 0)+1, FALSE) /VLOOKUP(2019, tblCPI[], MATCH(INDEX(tblCPI_Map[CPI Region], MATCH($A31, tblCPI_Map[Census Division and State], 0)), tblCPI[[#Headers],[West]:[National]], 0)+1, FALSE)</f>
        <v>15.899792296915928</v>
      </c>
      <c r="G31" s="61">
        <f>$C31 * VLOOKUP(2025, tblCPI[], MATCH(INDEX(tblCPI_Map[CPI Region], MATCH($A31, tblCPI_Map[Census Division and State], 0)), tblCPI[[#Headers],[West]:[National]], 0)+1, FALSE) /VLOOKUP(2024, tblCPI[], MATCH(INDEX(tblCPI_Map[CPI Region], MATCH($A31, tblCPI_Map[Census Division and State], 0)), tblCPI[[#Headers],[West]:[National]], 0)+1, FALSE)</f>
        <v>16.939746090102133</v>
      </c>
      <c r="H31" s="26">
        <f t="shared" si="0"/>
        <v>17.13</v>
      </c>
      <c r="J31" s="25" t="s">
        <v>207</v>
      </c>
      <c r="K31" s="26">
        <f t="shared" si="1"/>
        <v>1.230207703084071</v>
      </c>
      <c r="L31" s="26">
        <f t="shared" si="2"/>
        <v>0.19025390989786573</v>
      </c>
      <c r="M31" s="26">
        <f t="shared" si="3"/>
        <v>1.0399537931862053</v>
      </c>
      <c r="O31" s="25" t="s">
        <v>207</v>
      </c>
      <c r="P31" s="26">
        <f t="shared" si="4"/>
        <v>4.5799999999999983</v>
      </c>
      <c r="Q31" s="26">
        <f t="shared" si="5"/>
        <v>0.55999999999999872</v>
      </c>
      <c r="R31" s="26">
        <f t="shared" si="6"/>
        <v>4.0199999999999996</v>
      </c>
    </row>
    <row r="32" spans="1:18" x14ac:dyDescent="0.25">
      <c r="A32" s="25" t="s">
        <v>208</v>
      </c>
      <c r="B32" s="44">
        <v>12.98</v>
      </c>
      <c r="C32" s="44">
        <v>17.71</v>
      </c>
      <c r="D32" s="26">
        <v>21.94</v>
      </c>
      <c r="E32" s="44"/>
      <c r="F32" s="61">
        <f>$B32 * VLOOKUP(2025, tblCPI[], MATCH(INDEX(tblCPI_Map[CPI Region], MATCH($A32, tblCPI_Map[Census Division and State], 0)), tblCPI[[#Headers],[West]:[National]], 0)+1, FALSE) /VLOOKUP(2019, tblCPI[], MATCH(INDEX(tblCPI_Map[CPI Region], MATCH($A32, tblCPI_Map[Census Division and State], 0)), tblCPI[[#Headers],[West]:[National]], 0)+1, FALSE)</f>
        <v>16.444566056889936</v>
      </c>
      <c r="G32" s="61">
        <f>$C32 * VLOOKUP(2025, tblCPI[], MATCH(INDEX(tblCPI_Map[CPI Region], MATCH($A32, tblCPI_Map[Census Division and State], 0)), tblCPI[[#Headers],[West]:[National]], 0)+1, FALSE) /VLOOKUP(2024, tblCPI[], MATCH(INDEX(tblCPI_Map[CPI Region], MATCH($A32, tblCPI_Map[Census Division and State], 0)), tblCPI[[#Headers],[West]:[National]], 0)+1, FALSE)</f>
        <v>18.105184264074158</v>
      </c>
      <c r="H32" s="26">
        <f t="shared" si="0"/>
        <v>21.94</v>
      </c>
      <c r="J32" s="25" t="s">
        <v>208</v>
      </c>
      <c r="K32" s="26">
        <f t="shared" si="1"/>
        <v>5.4954339431100649</v>
      </c>
      <c r="L32" s="26">
        <f t="shared" si="2"/>
        <v>3.8348157359258437</v>
      </c>
      <c r="M32" s="26">
        <f t="shared" si="3"/>
        <v>1.6606182071842213</v>
      </c>
      <c r="O32" s="25" t="s">
        <v>208</v>
      </c>
      <c r="P32" s="26">
        <f t="shared" si="4"/>
        <v>8.9600000000000009</v>
      </c>
      <c r="Q32" s="26">
        <f t="shared" si="5"/>
        <v>4.2300000000000004</v>
      </c>
      <c r="R32" s="26">
        <f t="shared" si="6"/>
        <v>4.7300000000000004</v>
      </c>
    </row>
    <row r="33" spans="1:18" x14ac:dyDescent="0.25">
      <c r="A33" s="25" t="s">
        <v>209</v>
      </c>
      <c r="B33" s="44">
        <v>11.7</v>
      </c>
      <c r="C33" s="44">
        <v>14.14</v>
      </c>
      <c r="D33" s="26">
        <v>15.24</v>
      </c>
      <c r="E33" s="44"/>
      <c r="F33" s="61">
        <f>$B33 * VLOOKUP(2025, tblCPI[], MATCH(INDEX(tblCPI_Map[CPI Region], MATCH($A33, tblCPI_Map[Census Division and State], 0)), tblCPI[[#Headers],[West]:[National]], 0)+1, FALSE) /VLOOKUP(2019, tblCPI[], MATCH(INDEX(tblCPI_Map[CPI Region], MATCH($A33, tblCPI_Map[Census Division and State], 0)), tblCPI[[#Headers],[West]:[National]], 0)+1, FALSE)</f>
        <v>14.822913934176599</v>
      </c>
      <c r="G33" s="61">
        <f>$C33 * VLOOKUP(2025, tblCPI[], MATCH(INDEX(tblCPI_Map[CPI Region], MATCH($A33, tblCPI_Map[Census Division and State], 0)), tblCPI[[#Headers],[West]:[National]], 0)+1, FALSE) /VLOOKUP(2024, tblCPI[], MATCH(INDEX(tblCPI_Map[CPI Region], MATCH($A33, tblCPI_Map[Census Division and State], 0)), tblCPI[[#Headers],[West]:[National]], 0)+1, FALSE)</f>
        <v>14.455522614003874</v>
      </c>
      <c r="H33" s="26">
        <f t="shared" si="0"/>
        <v>15.24</v>
      </c>
      <c r="J33" s="25" t="s">
        <v>209</v>
      </c>
      <c r="K33" s="26">
        <f t="shared" si="1"/>
        <v>0.41708606582340124</v>
      </c>
      <c r="L33" s="26">
        <f t="shared" si="2"/>
        <v>0.78447738599612649</v>
      </c>
      <c r="M33" s="26">
        <f t="shared" si="3"/>
        <v>-0.36739132017272524</v>
      </c>
      <c r="O33" s="25" t="s">
        <v>209</v>
      </c>
      <c r="P33" s="26">
        <f t="shared" si="4"/>
        <v>3.5400000000000009</v>
      </c>
      <c r="Q33" s="26">
        <f t="shared" si="5"/>
        <v>1.0999999999999996</v>
      </c>
      <c r="R33" s="26">
        <f t="shared" si="6"/>
        <v>2.4400000000000013</v>
      </c>
    </row>
    <row r="34" spans="1:18" x14ac:dyDescent="0.25">
      <c r="A34" s="25" t="s">
        <v>210</v>
      </c>
      <c r="B34" s="44">
        <v>11.76</v>
      </c>
      <c r="C34" s="44">
        <v>14.08</v>
      </c>
      <c r="D34" s="26">
        <v>14.73</v>
      </c>
      <c r="E34" s="44"/>
      <c r="F34" s="61">
        <f>$B34 * VLOOKUP(2025, tblCPI[], MATCH(INDEX(tblCPI_Map[CPI Region], MATCH($A34, tblCPI_Map[Census Division and State], 0)), tblCPI[[#Headers],[West]:[National]], 0)+1, FALSE) /VLOOKUP(2019, tblCPI[], MATCH(INDEX(tblCPI_Map[CPI Region], MATCH($A34, tblCPI_Map[Census Division and State], 0)), tblCPI[[#Headers],[West]:[National]], 0)+1, FALSE)</f>
        <v>14.898928877428789</v>
      </c>
      <c r="G34" s="61">
        <f>$C34 * VLOOKUP(2025, tblCPI[], MATCH(INDEX(tblCPI_Map[CPI Region], MATCH($A34, tblCPI_Map[Census Division and State], 0)), tblCPI[[#Headers],[West]:[National]], 0)+1, FALSE) /VLOOKUP(2024, tblCPI[], MATCH(INDEX(tblCPI_Map[CPI Region], MATCH($A34, tblCPI_Map[Census Division and State], 0)), tblCPI[[#Headers],[West]:[National]], 0)+1, FALSE)</f>
        <v>14.394183762742188</v>
      </c>
      <c r="H34" s="26">
        <f t="shared" si="0"/>
        <v>14.73</v>
      </c>
      <c r="J34" s="25" t="s">
        <v>210</v>
      </c>
      <c r="K34" s="26">
        <f t="shared" si="1"/>
        <v>-0.16892887742878848</v>
      </c>
      <c r="L34" s="26">
        <f t="shared" si="2"/>
        <v>0.33581623725781284</v>
      </c>
      <c r="M34" s="26">
        <f t="shared" si="3"/>
        <v>-0.50474511468660133</v>
      </c>
      <c r="O34" s="25" t="s">
        <v>210</v>
      </c>
      <c r="P34" s="26">
        <f t="shared" si="4"/>
        <v>2.9700000000000006</v>
      </c>
      <c r="Q34" s="26">
        <f t="shared" si="5"/>
        <v>0.65000000000000036</v>
      </c>
      <c r="R34" s="26">
        <f t="shared" si="6"/>
        <v>2.3200000000000003</v>
      </c>
    </row>
    <row r="35" spans="1:18" x14ac:dyDescent="0.25">
      <c r="A35" s="25" t="s">
        <v>211</v>
      </c>
      <c r="B35" s="44">
        <v>13.12</v>
      </c>
      <c r="C35" s="44">
        <v>17.86</v>
      </c>
      <c r="D35" s="26">
        <v>19.48</v>
      </c>
      <c r="E35" s="44"/>
      <c r="F35" s="61">
        <f>$B35 * VLOOKUP(2025, tblCPI[], MATCH(INDEX(tblCPI_Map[CPI Region], MATCH($A35, tblCPI_Map[Census Division and State], 0)), tblCPI[[#Headers],[West]:[National]], 0)+1, FALSE) /VLOOKUP(2019, tblCPI[], MATCH(INDEX(tblCPI_Map[CPI Region], MATCH($A35, tblCPI_Map[Census Division and State], 0)), tblCPI[[#Headers],[West]:[National]], 0)+1, FALSE)</f>
        <v>16.621934257811706</v>
      </c>
      <c r="G35" s="61">
        <f>$C35 * VLOOKUP(2025, tblCPI[], MATCH(INDEX(tblCPI_Map[CPI Region], MATCH($A35, tblCPI_Map[Census Division and State], 0)), tblCPI[[#Headers],[West]:[National]], 0)+1, FALSE) /VLOOKUP(2024, tblCPI[], MATCH(INDEX(tblCPI_Map[CPI Region], MATCH($A35, tblCPI_Map[Census Division and State], 0)), tblCPI[[#Headers],[West]:[National]], 0)+1, FALSE)</f>
        <v>18.25853139222837</v>
      </c>
      <c r="H35" s="26">
        <f t="shared" si="0"/>
        <v>19.48</v>
      </c>
      <c r="J35" s="25" t="s">
        <v>211</v>
      </c>
      <c r="K35" s="26">
        <f t="shared" si="1"/>
        <v>2.8580657421882947</v>
      </c>
      <c r="L35" s="26">
        <f t="shared" si="2"/>
        <v>1.2214686077716301</v>
      </c>
      <c r="M35" s="26">
        <f t="shared" si="3"/>
        <v>1.6365971344166645</v>
      </c>
      <c r="O35" s="25" t="s">
        <v>211</v>
      </c>
      <c r="P35" s="26">
        <f t="shared" si="4"/>
        <v>6.3600000000000012</v>
      </c>
      <c r="Q35" s="26">
        <f t="shared" si="5"/>
        <v>1.620000000000001</v>
      </c>
      <c r="R35" s="26">
        <f t="shared" si="6"/>
        <v>4.74</v>
      </c>
    </row>
    <row r="36" spans="1:18" x14ac:dyDescent="0.25">
      <c r="A36" s="25" t="s">
        <v>212</v>
      </c>
      <c r="B36" s="44">
        <v>11.42</v>
      </c>
      <c r="C36" s="44">
        <v>14.13</v>
      </c>
      <c r="D36" s="26">
        <v>14.02</v>
      </c>
      <c r="E36" s="44"/>
      <c r="F36" s="61">
        <f>$B36 * VLOOKUP(2025, tblCPI[], MATCH(INDEX(tblCPI_Map[CPI Region], MATCH($A36, tblCPI_Map[Census Division and State], 0)), tblCPI[[#Headers],[West]:[National]], 0)+1, FALSE) /VLOOKUP(2019, tblCPI[], MATCH(INDEX(tblCPI_Map[CPI Region], MATCH($A36, tblCPI_Map[Census Division and State], 0)), tblCPI[[#Headers],[West]:[National]], 0)+1, FALSE)</f>
        <v>14.468177532333057</v>
      </c>
      <c r="G36" s="61">
        <f>$C36 * VLOOKUP(2025, tblCPI[], MATCH(INDEX(tblCPI_Map[CPI Region], MATCH($A36, tblCPI_Map[Census Division and State], 0)), tblCPI[[#Headers],[West]:[National]], 0)+1, FALSE) /VLOOKUP(2024, tblCPI[], MATCH(INDEX(tblCPI_Map[CPI Region], MATCH($A36, tblCPI_Map[Census Division and State], 0)), tblCPI[[#Headers],[West]:[National]], 0)+1, FALSE)</f>
        <v>14.445299472126928</v>
      </c>
      <c r="H36" s="26">
        <f t="shared" si="0"/>
        <v>14.02</v>
      </c>
      <c r="J36" s="25" t="s">
        <v>212</v>
      </c>
      <c r="K36" s="26">
        <f t="shared" si="1"/>
        <v>-0.44817753233305702</v>
      </c>
      <c r="L36" s="26">
        <f t="shared" si="2"/>
        <v>-0.42529947212692853</v>
      </c>
      <c r="M36" s="26">
        <f t="shared" si="3"/>
        <v>-2.2878060206128481E-2</v>
      </c>
      <c r="O36" s="25" t="s">
        <v>212</v>
      </c>
      <c r="P36" s="26">
        <f t="shared" si="4"/>
        <v>2.5999999999999996</v>
      </c>
      <c r="Q36" s="26">
        <f t="shared" si="5"/>
        <v>-0.11000000000000121</v>
      </c>
      <c r="R36" s="26">
        <f t="shared" si="6"/>
        <v>2.7100000000000009</v>
      </c>
    </row>
    <row r="37" spans="1:18" x14ac:dyDescent="0.25">
      <c r="A37" s="25" t="s">
        <v>213</v>
      </c>
      <c r="B37" s="44">
        <v>12.99</v>
      </c>
      <c r="C37" s="44">
        <v>14.23</v>
      </c>
      <c r="D37" s="26">
        <v>14.96</v>
      </c>
      <c r="E37" s="44"/>
      <c r="F37" s="61">
        <f>$B37 * VLOOKUP(2025, tblCPI[], MATCH(INDEX(tblCPI_Map[CPI Region], MATCH($A37, tblCPI_Map[Census Division and State], 0)), tblCPI[[#Headers],[West]:[National]], 0)+1, FALSE) /VLOOKUP(2019, tblCPI[], MATCH(INDEX(tblCPI_Map[CPI Region], MATCH($A37, tblCPI_Map[Census Division and State], 0)), tblCPI[[#Headers],[West]:[National]], 0)+1, FALSE)</f>
        <v>16.457235214098635</v>
      </c>
      <c r="G37" s="61">
        <f>$C37 * VLOOKUP(2025, tblCPI[], MATCH(INDEX(tblCPI_Map[CPI Region], MATCH($A37, tblCPI_Map[Census Division and State], 0)), tblCPI[[#Headers],[West]:[National]], 0)+1, FALSE) /VLOOKUP(2024, tblCPI[], MATCH(INDEX(tblCPI_Map[CPI Region], MATCH($A37, tblCPI_Map[Census Division and State], 0)), tblCPI[[#Headers],[West]:[National]], 0)+1, FALSE)</f>
        <v>14.5475308908964</v>
      </c>
      <c r="H37" s="26">
        <f t="shared" si="0"/>
        <v>14.96</v>
      </c>
      <c r="J37" s="25" t="s">
        <v>213</v>
      </c>
      <c r="K37" s="26">
        <f t="shared" si="1"/>
        <v>-1.4972352140986338</v>
      </c>
      <c r="L37" s="26">
        <f t="shared" si="2"/>
        <v>0.41246910910360057</v>
      </c>
      <c r="M37" s="26">
        <f t="shared" si="3"/>
        <v>-1.9097043232022344</v>
      </c>
      <c r="O37" s="25" t="s">
        <v>213</v>
      </c>
      <c r="P37" s="26">
        <f t="shared" si="4"/>
        <v>1.9700000000000006</v>
      </c>
      <c r="Q37" s="26">
        <f t="shared" si="5"/>
        <v>0.73000000000000043</v>
      </c>
      <c r="R37" s="26">
        <f t="shared" si="6"/>
        <v>1.2400000000000002</v>
      </c>
    </row>
    <row r="38" spans="1:18" x14ac:dyDescent="0.25">
      <c r="A38" s="25" t="s">
        <v>214</v>
      </c>
      <c r="B38" s="44">
        <v>12.07</v>
      </c>
      <c r="C38" s="44">
        <v>14.41</v>
      </c>
      <c r="D38" s="26">
        <v>15.28</v>
      </c>
      <c r="E38" s="44"/>
      <c r="F38" s="61">
        <f>$B38 * VLOOKUP(2025, tblCPI[], MATCH(INDEX(tblCPI_Map[CPI Region], MATCH($A38, tblCPI_Map[Census Division and State], 0)), tblCPI[[#Headers],[West]:[National]], 0)+1, FALSE) /VLOOKUP(2019, tblCPI[], MATCH(INDEX(tblCPI_Map[CPI Region], MATCH($A38, tblCPI_Map[Census Division and State], 0)), tblCPI[[#Headers],[West]:[National]], 0)+1, FALSE)</f>
        <v>15.291672750898424</v>
      </c>
      <c r="G38" s="61">
        <f>$C38 * VLOOKUP(2025, tblCPI[], MATCH(INDEX(tblCPI_Map[CPI Region], MATCH($A38, tblCPI_Map[Census Division and State], 0)), tblCPI[[#Headers],[West]:[National]], 0)+1, FALSE) /VLOOKUP(2024, tblCPI[], MATCH(INDEX(tblCPI_Map[CPI Region], MATCH($A38, tblCPI_Map[Census Division and State], 0)), tblCPI[[#Headers],[West]:[National]], 0)+1, FALSE)</f>
        <v>14.731547444681457</v>
      </c>
      <c r="H38" s="26">
        <f t="shared" si="0"/>
        <v>15.28</v>
      </c>
      <c r="J38" s="25" t="s">
        <v>214</v>
      </c>
      <c r="K38" s="26">
        <f t="shared" si="1"/>
        <v>-1.1672750898425122E-2</v>
      </c>
      <c r="L38" s="26">
        <f t="shared" si="2"/>
        <v>0.54845255531854242</v>
      </c>
      <c r="M38" s="26">
        <f t="shared" si="3"/>
        <v>-0.56012530621696754</v>
      </c>
      <c r="O38" s="25" t="s">
        <v>214</v>
      </c>
      <c r="P38" s="26">
        <f t="shared" si="4"/>
        <v>3.2099999999999991</v>
      </c>
      <c r="Q38" s="26">
        <f t="shared" si="5"/>
        <v>0.86999999999999922</v>
      </c>
      <c r="R38" s="26">
        <f t="shared" si="6"/>
        <v>2.34</v>
      </c>
    </row>
    <row r="39" spans="1:18" x14ac:dyDescent="0.25">
      <c r="A39" s="25" t="s">
        <v>215</v>
      </c>
      <c r="B39" s="44">
        <v>11.25</v>
      </c>
      <c r="C39" s="44">
        <v>15.07</v>
      </c>
      <c r="D39" s="26">
        <v>15.41</v>
      </c>
      <c r="E39" s="44"/>
      <c r="F39" s="61">
        <f>$B39 * VLOOKUP(2025, tblCPI[], MATCH(INDEX(tblCPI_Map[CPI Region], MATCH($A39, tblCPI_Map[Census Division and State], 0)), tblCPI[[#Headers],[West]:[National]], 0)+1, FALSE) /VLOOKUP(2019, tblCPI[], MATCH(INDEX(tblCPI_Map[CPI Region], MATCH($A39, tblCPI_Map[Census Division and State], 0)), tblCPI[[#Headers],[West]:[National]], 0)+1, FALSE)</f>
        <v>14.25280185978519</v>
      </c>
      <c r="G39" s="61">
        <f>$C39 * VLOOKUP(2025, tblCPI[], MATCH(INDEX(tblCPI_Map[CPI Region], MATCH($A39, tblCPI_Map[Census Division and State], 0)), tblCPI[[#Headers],[West]:[National]], 0)+1, FALSE) /VLOOKUP(2024, tblCPI[], MATCH(INDEX(tblCPI_Map[CPI Region], MATCH($A39, tblCPI_Map[Census Division and State], 0)), tblCPI[[#Headers],[West]:[National]], 0)+1, FALSE)</f>
        <v>15.406274808559997</v>
      </c>
      <c r="H39" s="26">
        <f t="shared" si="0"/>
        <v>15.41</v>
      </c>
      <c r="J39" s="25" t="s">
        <v>215</v>
      </c>
      <c r="K39" s="26">
        <f t="shared" si="1"/>
        <v>1.1571981402148097</v>
      </c>
      <c r="L39" s="26">
        <f t="shared" si="2"/>
        <v>3.7251914400027175E-3</v>
      </c>
      <c r="M39" s="26">
        <f t="shared" si="3"/>
        <v>1.153472948774807</v>
      </c>
      <c r="O39" s="25" t="s">
        <v>215</v>
      </c>
      <c r="P39" s="26">
        <f t="shared" si="4"/>
        <v>4.16</v>
      </c>
      <c r="Q39" s="26">
        <f t="shared" si="5"/>
        <v>0.33999999999999986</v>
      </c>
      <c r="R39" s="26">
        <f t="shared" si="6"/>
        <v>3.8200000000000003</v>
      </c>
    </row>
    <row r="40" spans="1:18" x14ac:dyDescent="0.25">
      <c r="A40" s="60" t="s">
        <v>216</v>
      </c>
      <c r="B40" s="44">
        <v>11.36</v>
      </c>
      <c r="C40" s="44">
        <v>13.4</v>
      </c>
      <c r="D40" s="26">
        <v>14.1</v>
      </c>
      <c r="E40" s="44"/>
      <c r="F40" s="61">
        <f>$B40 * VLOOKUP(2025, tblCPI[], MATCH(INDEX(tblCPI_Map[CPI Region], MATCH($A40, tblCPI_Map[Census Division and State], 0)), tblCPI[[#Headers],[West]:[National]], 0)+1, FALSE) /VLOOKUP(2019, tblCPI[], MATCH(INDEX(tblCPI_Map[CPI Region], MATCH($A40, tblCPI_Map[Census Division and State], 0)), tblCPI[[#Headers],[West]:[National]], 0)+1, FALSE)</f>
        <v>14.392162589080868</v>
      </c>
      <c r="G40" s="61">
        <f>$C40 * VLOOKUP(2025, tblCPI[], MATCH(INDEX(tblCPI_Map[CPI Region], MATCH($A40, tblCPI_Map[Census Division and State], 0)), tblCPI[[#Headers],[West]:[National]], 0)+1, FALSE) /VLOOKUP(2024, tblCPI[], MATCH(INDEX(tblCPI_Map[CPI Region], MATCH($A40, tblCPI_Map[Census Division and State], 0)), tblCPI[[#Headers],[West]:[National]], 0)+1, FALSE)</f>
        <v>13.699010115109754</v>
      </c>
      <c r="H40" s="26">
        <f t="shared" si="0"/>
        <v>14.1</v>
      </c>
      <c r="J40" s="60" t="s">
        <v>216</v>
      </c>
      <c r="K40" s="26">
        <f t="shared" si="1"/>
        <v>-0.29216258908086878</v>
      </c>
      <c r="L40" s="26">
        <f t="shared" si="2"/>
        <v>0.40098988489024556</v>
      </c>
      <c r="M40" s="26">
        <f t="shared" si="3"/>
        <v>-0.69315247397111435</v>
      </c>
      <c r="O40" s="60" t="s">
        <v>216</v>
      </c>
      <c r="P40" s="26">
        <f t="shared" si="4"/>
        <v>2.74</v>
      </c>
      <c r="Q40" s="26">
        <f t="shared" si="5"/>
        <v>0.69999999999999929</v>
      </c>
      <c r="R40" s="26">
        <f t="shared" si="6"/>
        <v>2.0400000000000009</v>
      </c>
    </row>
    <row r="41" spans="1:18" x14ac:dyDescent="0.25">
      <c r="A41" s="25" t="s">
        <v>217</v>
      </c>
      <c r="B41" s="44">
        <v>12.53</v>
      </c>
      <c r="C41" s="44">
        <v>15.18</v>
      </c>
      <c r="D41" s="26">
        <v>16.100000000000001</v>
      </c>
      <c r="E41" s="44"/>
      <c r="F41" s="61">
        <f>$B41 * VLOOKUP(2025, tblCPI[], MATCH(INDEX(tblCPI_Map[CPI Region], MATCH($A41, tblCPI_Map[Census Division and State], 0)), tblCPI[[#Headers],[West]:[National]], 0)+1, FALSE) /VLOOKUP(2019, tblCPI[], MATCH(INDEX(tblCPI_Map[CPI Region], MATCH($A41, tblCPI_Map[Census Division and State], 0)), tblCPI[[#Headers],[West]:[National]], 0)+1, FALSE)</f>
        <v>15.874453982498528</v>
      </c>
      <c r="G41" s="61">
        <f>$C41 * VLOOKUP(2025, tblCPI[], MATCH(INDEX(tblCPI_Map[CPI Region], MATCH($A41, tblCPI_Map[Census Division and State], 0)), tblCPI[[#Headers],[West]:[National]], 0)+1, FALSE) /VLOOKUP(2024, tblCPI[], MATCH(INDEX(tblCPI_Map[CPI Region], MATCH($A41, tblCPI_Map[Census Division and State], 0)), tblCPI[[#Headers],[West]:[National]], 0)+1, FALSE)</f>
        <v>15.518729369206421</v>
      </c>
      <c r="H41" s="26">
        <f t="shared" si="0"/>
        <v>16.100000000000001</v>
      </c>
      <c r="J41" s="25" t="s">
        <v>217</v>
      </c>
      <c r="K41" s="26">
        <f t="shared" si="1"/>
        <v>0.22554601750147363</v>
      </c>
      <c r="L41" s="26">
        <f t="shared" si="2"/>
        <v>0.58127063079358088</v>
      </c>
      <c r="M41" s="26">
        <f t="shared" si="3"/>
        <v>-0.35572461329210725</v>
      </c>
      <c r="O41" s="25" t="s">
        <v>217</v>
      </c>
      <c r="P41" s="26">
        <f t="shared" si="4"/>
        <v>3.5700000000000021</v>
      </c>
      <c r="Q41" s="26">
        <f t="shared" si="5"/>
        <v>0.92000000000000171</v>
      </c>
      <c r="R41" s="26">
        <f t="shared" si="6"/>
        <v>2.6500000000000004</v>
      </c>
    </row>
    <row r="42" spans="1:18" x14ac:dyDescent="0.25">
      <c r="A42" s="25" t="s">
        <v>218</v>
      </c>
      <c r="B42" s="44">
        <v>10.8</v>
      </c>
      <c r="C42" s="44">
        <v>12.79</v>
      </c>
      <c r="D42" s="26">
        <v>13.24</v>
      </c>
      <c r="E42" s="44"/>
      <c r="F42" s="61">
        <f>$B42 * VLOOKUP(2025, tblCPI[], MATCH(INDEX(tblCPI_Map[CPI Region], MATCH($A42, tblCPI_Map[Census Division and State], 0)), tblCPI[[#Headers],[West]:[National]], 0)+1, FALSE) /VLOOKUP(2019, tblCPI[], MATCH(INDEX(tblCPI_Map[CPI Region], MATCH($A42, tblCPI_Map[Census Division and State], 0)), tblCPI[[#Headers],[West]:[National]], 0)+1, FALSE)</f>
        <v>13.682689785393785</v>
      </c>
      <c r="G42" s="61">
        <f>$C42 * VLOOKUP(2025, tblCPI[], MATCH(INDEX(tblCPI_Map[CPI Region], MATCH($A42, tblCPI_Map[Census Division and State], 0)), tblCPI[[#Headers],[West]:[National]], 0)+1, FALSE) /VLOOKUP(2024, tblCPI[], MATCH(INDEX(tblCPI_Map[CPI Region], MATCH($A42, tblCPI_Map[Census Division and State], 0)), tblCPI[[#Headers],[West]:[National]], 0)+1, FALSE)</f>
        <v>13.075398460615949</v>
      </c>
      <c r="H42" s="26">
        <f t="shared" si="0"/>
        <v>13.24</v>
      </c>
      <c r="J42" s="25" t="s">
        <v>218</v>
      </c>
      <c r="K42" s="26">
        <f t="shared" si="1"/>
        <v>-0.44268978539378523</v>
      </c>
      <c r="L42" s="26">
        <f t="shared" si="2"/>
        <v>0.16460153938405142</v>
      </c>
      <c r="M42" s="26">
        <f t="shared" si="3"/>
        <v>-0.60729132477783665</v>
      </c>
      <c r="O42" s="25" t="s">
        <v>218</v>
      </c>
      <c r="P42" s="26">
        <f t="shared" si="4"/>
        <v>2.4399999999999995</v>
      </c>
      <c r="Q42" s="26">
        <f t="shared" si="5"/>
        <v>0.45000000000000107</v>
      </c>
      <c r="R42" s="26">
        <f t="shared" si="6"/>
        <v>1.9899999999999984</v>
      </c>
    </row>
    <row r="43" spans="1:18" x14ac:dyDescent="0.25">
      <c r="A43" s="25" t="s">
        <v>219</v>
      </c>
      <c r="B43" s="44">
        <v>11.27</v>
      </c>
      <c r="C43" s="44">
        <v>13.39</v>
      </c>
      <c r="D43" s="26">
        <v>14.03</v>
      </c>
      <c r="E43" s="44"/>
      <c r="F43" s="61">
        <f>$B43 * VLOOKUP(2025, tblCPI[], MATCH(INDEX(tblCPI_Map[CPI Region], MATCH($A43, tblCPI_Map[Census Division and State], 0)), tblCPI[[#Headers],[West]:[National]], 0)+1, FALSE) /VLOOKUP(2019, tblCPI[], MATCH(INDEX(tblCPI_Map[CPI Region], MATCH($A43, tblCPI_Map[Census Division and State], 0)), tblCPI[[#Headers],[West]:[National]], 0)+1, FALSE)</f>
        <v>14.278140174202587</v>
      </c>
      <c r="G43" s="61">
        <f>$C43 * VLOOKUP(2025, tblCPI[], MATCH(INDEX(tblCPI_Map[CPI Region], MATCH($A43, tblCPI_Map[Census Division and State], 0)), tblCPI[[#Headers],[West]:[National]], 0)+1, FALSE) /VLOOKUP(2024, tblCPI[], MATCH(INDEX(tblCPI_Map[CPI Region], MATCH($A43, tblCPI_Map[Census Division and State], 0)), tblCPI[[#Headers],[West]:[National]], 0)+1, FALSE)</f>
        <v>13.688786973232805</v>
      </c>
      <c r="H43" s="26">
        <f t="shared" si="0"/>
        <v>14.03</v>
      </c>
      <c r="J43" s="25" t="s">
        <v>219</v>
      </c>
      <c r="K43" s="26">
        <f t="shared" si="1"/>
        <v>-0.24814017420258772</v>
      </c>
      <c r="L43" s="26">
        <f t="shared" si="2"/>
        <v>0.34121302676719445</v>
      </c>
      <c r="M43" s="26">
        <f t="shared" si="3"/>
        <v>-0.58935320096978216</v>
      </c>
      <c r="O43" s="25" t="s">
        <v>219</v>
      </c>
      <c r="P43" s="26">
        <f t="shared" si="4"/>
        <v>2.76</v>
      </c>
      <c r="Q43" s="26">
        <f t="shared" si="5"/>
        <v>0.63999999999999879</v>
      </c>
      <c r="R43" s="26">
        <f t="shared" si="6"/>
        <v>2.120000000000001</v>
      </c>
    </row>
    <row r="44" spans="1:18" x14ac:dyDescent="0.25">
      <c r="A44" s="25" t="s">
        <v>220</v>
      </c>
      <c r="B44" s="44">
        <v>10.87</v>
      </c>
      <c r="C44" s="44">
        <v>12.42</v>
      </c>
      <c r="D44" s="26">
        <v>13.18</v>
      </c>
      <c r="E44" s="44"/>
      <c r="F44" s="61">
        <f>$B44 * VLOOKUP(2025, tblCPI[], MATCH(INDEX(tblCPI_Map[CPI Region], MATCH($A44, tblCPI_Map[Census Division and State], 0)), tblCPI[[#Headers],[West]:[National]], 0)+1, FALSE) /VLOOKUP(2019, tblCPI[], MATCH(INDEX(tblCPI_Map[CPI Region], MATCH($A44, tblCPI_Map[Census Division and State], 0)), tblCPI[[#Headers],[West]:[National]], 0)+1, FALSE)</f>
        <v>13.771373885854668</v>
      </c>
      <c r="G44" s="61">
        <f>$C44 * VLOOKUP(2025, tblCPI[], MATCH(INDEX(tblCPI_Map[CPI Region], MATCH($A44, tblCPI_Map[Census Division and State], 0)), tblCPI[[#Headers],[West]:[National]], 0)+1, FALSE) /VLOOKUP(2024, tblCPI[], MATCH(INDEX(tblCPI_Map[CPI Region], MATCH($A44, tblCPI_Map[Census Division and State], 0)), tblCPI[[#Headers],[West]:[National]], 0)+1, FALSE)</f>
        <v>12.69714221116889</v>
      </c>
      <c r="H44" s="26">
        <f t="shared" si="0"/>
        <v>13.18</v>
      </c>
      <c r="J44" s="25" t="s">
        <v>220</v>
      </c>
      <c r="K44" s="26">
        <f t="shared" si="1"/>
        <v>-0.59137388585466866</v>
      </c>
      <c r="L44" s="26">
        <f t="shared" si="2"/>
        <v>0.48285778883110986</v>
      </c>
      <c r="M44" s="26">
        <f t="shared" si="3"/>
        <v>-1.0742316746857785</v>
      </c>
      <c r="O44" s="25" t="s">
        <v>220</v>
      </c>
      <c r="P44" s="26">
        <f t="shared" si="4"/>
        <v>2.3100000000000005</v>
      </c>
      <c r="Q44" s="26">
        <f t="shared" si="5"/>
        <v>0.75999999999999979</v>
      </c>
      <c r="R44" s="26">
        <f t="shared" si="6"/>
        <v>1.5500000000000007</v>
      </c>
    </row>
    <row r="45" spans="1:18" x14ac:dyDescent="0.25">
      <c r="A45" s="60" t="s">
        <v>221</v>
      </c>
      <c r="B45" s="44">
        <v>11.17</v>
      </c>
      <c r="C45" s="44">
        <v>14.04</v>
      </c>
      <c r="D45" s="26">
        <v>14.65</v>
      </c>
      <c r="E45" s="44"/>
      <c r="F45" s="61">
        <f>$B45 * VLOOKUP(2025, tblCPI[], MATCH(INDEX(tblCPI_Map[CPI Region], MATCH($A45, tblCPI_Map[Census Division and State], 0)), tblCPI[[#Headers],[West]:[National]], 0)+1, FALSE) /VLOOKUP(2019, tblCPI[], MATCH(INDEX(tblCPI_Map[CPI Region], MATCH($A45, tblCPI_Map[Census Division and State], 0)), tblCPI[[#Headers],[West]:[National]], 0)+1, FALSE)</f>
        <v>14.151448602115609</v>
      </c>
      <c r="G45" s="61">
        <f>$C45 * VLOOKUP(2025, tblCPI[], MATCH(INDEX(tblCPI_Map[CPI Region], MATCH($A45, tblCPI_Map[Census Division and State], 0)), tblCPI[[#Headers],[West]:[National]], 0)+1, FALSE) /VLOOKUP(2024, tblCPI[], MATCH(INDEX(tblCPI_Map[CPI Region], MATCH($A45, tblCPI_Map[Census Division and State], 0)), tblCPI[[#Headers],[West]:[National]], 0)+1, FALSE)</f>
        <v>14.353291195234394</v>
      </c>
      <c r="H45" s="26">
        <f t="shared" si="0"/>
        <v>14.65</v>
      </c>
      <c r="J45" s="60" t="s">
        <v>221</v>
      </c>
      <c r="K45" s="26">
        <f t="shared" si="1"/>
        <v>0.49855139788439118</v>
      </c>
      <c r="L45" s="26">
        <f t="shared" si="2"/>
        <v>0.2967088047656059</v>
      </c>
      <c r="M45" s="26">
        <f t="shared" si="3"/>
        <v>0.20184259311878527</v>
      </c>
      <c r="O45" s="60" t="s">
        <v>221</v>
      </c>
      <c r="P45" s="26">
        <f t="shared" si="4"/>
        <v>3.4800000000000004</v>
      </c>
      <c r="Q45" s="26">
        <f t="shared" si="5"/>
        <v>0.61000000000000121</v>
      </c>
      <c r="R45" s="26">
        <f t="shared" si="6"/>
        <v>2.8699999999999992</v>
      </c>
    </row>
    <row r="46" spans="1:18" x14ac:dyDescent="0.25">
      <c r="A46" s="25" t="s">
        <v>222</v>
      </c>
      <c r="B46" s="44">
        <v>9.8000000000000007</v>
      </c>
      <c r="C46" s="44">
        <v>12.32</v>
      </c>
      <c r="D46" s="26">
        <v>12.84</v>
      </c>
      <c r="E46" s="44"/>
      <c r="F46" s="61">
        <f>$B46 * VLOOKUP(2025, tblCPI[], MATCH(INDEX(tblCPI_Map[CPI Region], MATCH($A46, tblCPI_Map[Census Division and State], 0)), tblCPI[[#Headers],[West]:[National]], 0)+1, FALSE) /VLOOKUP(2019, tblCPI[], MATCH(INDEX(tblCPI_Map[CPI Region], MATCH($A46, tblCPI_Map[Census Division and State], 0)), tblCPI[[#Headers],[West]:[National]], 0)+1, FALSE)</f>
        <v>12.41577406452399</v>
      </c>
      <c r="G46" s="61">
        <f>$C46 * VLOOKUP(2025, tblCPI[], MATCH(INDEX(tblCPI_Map[CPI Region], MATCH($A46, tblCPI_Map[Census Division and State], 0)), tblCPI[[#Headers],[West]:[National]], 0)+1, FALSE) /VLOOKUP(2024, tblCPI[], MATCH(INDEX(tblCPI_Map[CPI Region], MATCH($A46, tblCPI_Map[Census Division and State], 0)), tblCPI[[#Headers],[West]:[National]], 0)+1, FALSE)</f>
        <v>12.594910792399414</v>
      </c>
      <c r="H46" s="26">
        <f t="shared" si="0"/>
        <v>12.84</v>
      </c>
      <c r="J46" s="25" t="s">
        <v>222</v>
      </c>
      <c r="K46" s="26">
        <f t="shared" si="1"/>
        <v>0.4242259354760094</v>
      </c>
      <c r="L46" s="26">
        <f t="shared" si="2"/>
        <v>0.24508920760058572</v>
      </c>
      <c r="M46" s="26">
        <f t="shared" si="3"/>
        <v>0.17913672787542367</v>
      </c>
      <c r="O46" s="25" t="s">
        <v>222</v>
      </c>
      <c r="P46" s="26">
        <f t="shared" si="4"/>
        <v>3.0399999999999991</v>
      </c>
      <c r="Q46" s="26">
        <f t="shared" si="5"/>
        <v>0.51999999999999957</v>
      </c>
      <c r="R46" s="26">
        <f t="shared" si="6"/>
        <v>2.5199999999999996</v>
      </c>
    </row>
    <row r="47" spans="1:18" x14ac:dyDescent="0.25">
      <c r="A47" s="25" t="s">
        <v>223</v>
      </c>
      <c r="B47" s="44">
        <v>9.8000000000000007</v>
      </c>
      <c r="C47" s="44">
        <v>11.73</v>
      </c>
      <c r="D47" s="26">
        <v>12.57</v>
      </c>
      <c r="E47" s="44"/>
      <c r="F47" s="61">
        <f>$B47 * VLOOKUP(2025, tblCPI[], MATCH(INDEX(tblCPI_Map[CPI Region], MATCH($A47, tblCPI_Map[Census Division and State], 0)), tblCPI[[#Headers],[West]:[National]], 0)+1, FALSE) /VLOOKUP(2019, tblCPI[], MATCH(INDEX(tblCPI_Map[CPI Region], MATCH($A47, tblCPI_Map[Census Division and State], 0)), tblCPI[[#Headers],[West]:[National]], 0)+1, FALSE)</f>
        <v>12.41577406452399</v>
      </c>
      <c r="G47" s="61">
        <f>$C47 * VLOOKUP(2025, tblCPI[], MATCH(INDEX(tblCPI_Map[CPI Region], MATCH($A47, tblCPI_Map[Census Division and State], 0)), tblCPI[[#Headers],[West]:[National]], 0)+1, FALSE) /VLOOKUP(2024, tblCPI[], MATCH(INDEX(tblCPI_Map[CPI Region], MATCH($A47, tblCPI_Map[Census Division and State], 0)), tblCPI[[#Headers],[West]:[National]], 0)+1, FALSE)</f>
        <v>11.991745421659507</v>
      </c>
      <c r="H47" s="26">
        <f t="shared" si="0"/>
        <v>12.57</v>
      </c>
      <c r="J47" s="25" t="s">
        <v>223</v>
      </c>
      <c r="K47" s="26">
        <f t="shared" si="1"/>
        <v>0.15422593547600982</v>
      </c>
      <c r="L47" s="26">
        <f t="shared" si="2"/>
        <v>0.5782545783404931</v>
      </c>
      <c r="M47" s="26">
        <f t="shared" si="3"/>
        <v>-0.42402864286448327</v>
      </c>
      <c r="O47" s="25" t="s">
        <v>223</v>
      </c>
      <c r="P47" s="26">
        <f t="shared" si="4"/>
        <v>2.7699999999999996</v>
      </c>
      <c r="Q47" s="26">
        <f t="shared" si="5"/>
        <v>0.83999999999999986</v>
      </c>
      <c r="R47" s="26">
        <f t="shared" si="6"/>
        <v>1.9299999999999997</v>
      </c>
    </row>
    <row r="48" spans="1:18" x14ac:dyDescent="0.25">
      <c r="A48" s="25" t="s">
        <v>224</v>
      </c>
      <c r="B48" s="44">
        <v>10.210000000000001</v>
      </c>
      <c r="C48" s="44">
        <v>12.24</v>
      </c>
      <c r="D48" s="26">
        <v>13.12</v>
      </c>
      <c r="E48" s="44"/>
      <c r="F48" s="61">
        <f>$B48 * VLOOKUP(2025, tblCPI[], MATCH(INDEX(tblCPI_Map[CPI Region], MATCH($A48, tblCPI_Map[Census Division and State], 0)), tblCPI[[#Headers],[West]:[National]], 0)+1, FALSE) /VLOOKUP(2019, tblCPI[], MATCH(INDEX(tblCPI_Map[CPI Region], MATCH($A48, tblCPI_Map[Census Division and State], 0)), tblCPI[[#Headers],[West]:[National]], 0)+1, FALSE)</f>
        <v>12.935209510080606</v>
      </c>
      <c r="G48" s="61">
        <f>$C48 * VLOOKUP(2025, tblCPI[], MATCH(INDEX(tblCPI_Map[CPI Region], MATCH($A48, tblCPI_Map[Census Division and State], 0)), tblCPI[[#Headers],[West]:[National]], 0)+1, FALSE) /VLOOKUP(2024, tblCPI[], MATCH(INDEX(tblCPI_Map[CPI Region], MATCH($A48, tblCPI_Map[Census Division and State], 0)), tblCPI[[#Headers],[West]:[National]], 0)+1, FALSE)</f>
        <v>12.513125657383833</v>
      </c>
      <c r="H48" s="26">
        <f t="shared" si="0"/>
        <v>13.12</v>
      </c>
      <c r="J48" s="25" t="s">
        <v>224</v>
      </c>
      <c r="K48" s="26">
        <f t="shared" si="1"/>
        <v>0.18479048991939351</v>
      </c>
      <c r="L48" s="26">
        <f t="shared" si="2"/>
        <v>0.60687434261616602</v>
      </c>
      <c r="M48" s="26">
        <f t="shared" si="3"/>
        <v>-0.42208385269677251</v>
      </c>
      <c r="O48" s="25" t="s">
        <v>224</v>
      </c>
      <c r="P48" s="26">
        <f t="shared" si="4"/>
        <v>2.9099999999999984</v>
      </c>
      <c r="Q48" s="26">
        <f t="shared" si="5"/>
        <v>0.87999999999999901</v>
      </c>
      <c r="R48" s="26">
        <f t="shared" si="6"/>
        <v>2.0299999999999994</v>
      </c>
    </row>
    <row r="49" spans="1:18" x14ac:dyDescent="0.25">
      <c r="A49" s="25" t="s">
        <v>225</v>
      </c>
      <c r="B49" s="44">
        <v>11.76</v>
      </c>
      <c r="C49" s="44">
        <v>14.94</v>
      </c>
      <c r="D49" s="26">
        <v>15.47</v>
      </c>
      <c r="E49" s="44"/>
      <c r="F49" s="61">
        <f>$B49 * VLOOKUP(2025, tblCPI[], MATCH(INDEX(tblCPI_Map[CPI Region], MATCH($A49, tblCPI_Map[Census Division and State], 0)), tblCPI[[#Headers],[West]:[National]], 0)+1, FALSE) /VLOOKUP(2019, tblCPI[], MATCH(INDEX(tblCPI_Map[CPI Region], MATCH($A49, tblCPI_Map[Census Division and State], 0)), tblCPI[[#Headers],[West]:[National]], 0)+1, FALSE)</f>
        <v>14.898928877428789</v>
      </c>
      <c r="G49" s="61">
        <f>$C49 * VLOOKUP(2025, tblCPI[], MATCH(INDEX(tblCPI_Map[CPI Region], MATCH($A49, tblCPI_Map[Census Division and State], 0)), tblCPI[[#Headers],[West]:[National]], 0)+1, FALSE) /VLOOKUP(2024, tblCPI[], MATCH(INDEX(tblCPI_Map[CPI Region], MATCH($A49, tblCPI_Map[Census Division and State], 0)), tblCPI[[#Headers],[West]:[National]], 0)+1, FALSE)</f>
        <v>15.273373964159678</v>
      </c>
      <c r="H49" s="26">
        <f t="shared" si="0"/>
        <v>15.47</v>
      </c>
      <c r="J49" s="25" t="s">
        <v>225</v>
      </c>
      <c r="K49" s="26">
        <f t="shared" si="1"/>
        <v>0.57107112257121173</v>
      </c>
      <c r="L49" s="26">
        <f t="shared" si="2"/>
        <v>0.1966260358403229</v>
      </c>
      <c r="M49" s="26">
        <f t="shared" si="3"/>
        <v>0.37444508673088883</v>
      </c>
      <c r="O49" s="25" t="s">
        <v>225</v>
      </c>
      <c r="P49" s="26">
        <f t="shared" si="4"/>
        <v>3.7100000000000009</v>
      </c>
      <c r="Q49" s="26">
        <f t="shared" si="5"/>
        <v>0.53000000000000114</v>
      </c>
      <c r="R49" s="26">
        <f t="shared" si="6"/>
        <v>3.1799999999999997</v>
      </c>
    </row>
    <row r="50" spans="1:18" x14ac:dyDescent="0.25">
      <c r="A50" s="60" t="s">
        <v>226</v>
      </c>
      <c r="B50" s="44">
        <v>11.81</v>
      </c>
      <c r="C50" s="44">
        <v>14.12</v>
      </c>
      <c r="D50" s="26">
        <v>14.41</v>
      </c>
      <c r="E50" s="44"/>
      <c r="F50" s="61">
        <f>$B50 * VLOOKUP(2025, tblCPI[], MATCH(INDEX(tblCPI_Map[CPI Region], MATCH($A50, tblCPI_Map[Census Division and State], 0)), tblCPI[[#Headers],[West]:[National]], 0)+1, FALSE) /VLOOKUP(2019, tblCPI[], MATCH(INDEX(tblCPI_Map[CPI Region], MATCH($A50, tblCPI_Map[Census Division and State], 0)), tblCPI[[#Headers],[West]:[National]], 0)+1, FALSE)</f>
        <v>14.933414092842613</v>
      </c>
      <c r="G50" s="61">
        <f>$C50 * VLOOKUP(2025, tblCPI[], MATCH(INDEX(tblCPI_Map[CPI Region], MATCH($A50, tblCPI_Map[Census Division and State], 0)), tblCPI[[#Headers],[West]:[National]], 0)+1, FALSE) /VLOOKUP(2024, tblCPI[], MATCH(INDEX(tblCPI_Map[CPI Region], MATCH($A50, tblCPI_Map[Census Division and State], 0)), tblCPI[[#Headers],[West]:[National]], 0)+1, FALSE)</f>
        <v>14.497655768970853</v>
      </c>
      <c r="H50" s="26">
        <f t="shared" si="0"/>
        <v>14.41</v>
      </c>
      <c r="J50" s="60" t="s">
        <v>226</v>
      </c>
      <c r="K50" s="26">
        <f t="shared" si="1"/>
        <v>-0.52341409284261253</v>
      </c>
      <c r="L50" s="26">
        <f t="shared" si="2"/>
        <v>-8.7655768970853032E-2</v>
      </c>
      <c r="M50" s="26">
        <f t="shared" si="3"/>
        <v>-0.4357583238717595</v>
      </c>
      <c r="O50" s="60" t="s">
        <v>226</v>
      </c>
      <c r="P50" s="26">
        <f t="shared" si="4"/>
        <v>2.5999999999999996</v>
      </c>
      <c r="Q50" s="26">
        <f t="shared" si="5"/>
        <v>0.29000000000000092</v>
      </c>
      <c r="R50" s="26">
        <f t="shared" si="6"/>
        <v>2.3099999999999987</v>
      </c>
    </row>
    <row r="51" spans="1:18" x14ac:dyDescent="0.25">
      <c r="A51" s="25" t="s">
        <v>227</v>
      </c>
      <c r="B51" s="44">
        <v>12.43</v>
      </c>
      <c r="C51" s="44">
        <v>14.91</v>
      </c>
      <c r="D51" s="26">
        <v>15.32</v>
      </c>
      <c r="E51" s="44"/>
      <c r="F51" s="61">
        <f>$B51 * VLOOKUP(2025, tblCPI[], MATCH(INDEX(tblCPI_Map[CPI Region], MATCH($A51, tblCPI_Map[Census Division and State], 0)), tblCPI[[#Headers],[West]:[National]], 0)+1, FALSE) /VLOOKUP(2019, tblCPI[], MATCH(INDEX(tblCPI_Map[CPI Region], MATCH($A51, tblCPI_Map[Census Division and State], 0)), tblCPI[[#Headers],[West]:[National]], 0)+1, FALSE)</f>
        <v>15.717386720917327</v>
      </c>
      <c r="G51" s="61">
        <f>$C51 * VLOOKUP(2025, tblCPI[], MATCH(INDEX(tblCPI_Map[CPI Region], MATCH($A51, tblCPI_Map[Census Division and State], 0)), tblCPI[[#Headers],[West]:[National]], 0)+1, FALSE) /VLOOKUP(2024, tblCPI[], MATCH(INDEX(tblCPI_Map[CPI Region], MATCH($A51, tblCPI_Map[Census Division and State], 0)), tblCPI[[#Headers],[West]:[National]], 0)+1, FALSE)</f>
        <v>15.308785234798542</v>
      </c>
      <c r="H51" s="26">
        <f t="shared" si="0"/>
        <v>15.32</v>
      </c>
      <c r="J51" s="25" t="s">
        <v>227</v>
      </c>
      <c r="K51" s="26">
        <f t="shared" si="1"/>
        <v>-0.39738672091732674</v>
      </c>
      <c r="L51" s="26">
        <f t="shared" si="2"/>
        <v>1.1214765201458476E-2</v>
      </c>
      <c r="M51" s="26">
        <f t="shared" si="3"/>
        <v>-0.40860148611878522</v>
      </c>
      <c r="O51" s="25" t="s">
        <v>227</v>
      </c>
      <c r="P51" s="26">
        <f t="shared" si="4"/>
        <v>2.8900000000000006</v>
      </c>
      <c r="Q51" s="26">
        <f t="shared" si="5"/>
        <v>0.41000000000000014</v>
      </c>
      <c r="R51" s="26">
        <f t="shared" si="6"/>
        <v>2.4800000000000004</v>
      </c>
    </row>
    <row r="52" spans="1:18" x14ac:dyDescent="0.25">
      <c r="A52" s="25" t="s">
        <v>228</v>
      </c>
      <c r="B52" s="44">
        <v>12.18</v>
      </c>
      <c r="C52" s="44">
        <v>14.92</v>
      </c>
      <c r="D52" s="26">
        <v>15.85</v>
      </c>
      <c r="E52" s="44"/>
      <c r="F52" s="61">
        <f>$B52 * VLOOKUP(2025, tblCPI[], MATCH(INDEX(tblCPI_Map[CPI Region], MATCH($A52, tblCPI_Map[Census Division and State], 0)), tblCPI[[#Headers],[West]:[National]], 0)+1, FALSE) /VLOOKUP(2019, tblCPI[], MATCH(INDEX(tblCPI_Map[CPI Region], MATCH($A52, tblCPI_Map[Census Division and State], 0)), tblCPI[[#Headers],[West]:[National]], 0)+1, FALSE)</f>
        <v>15.40126872572591</v>
      </c>
      <c r="G52" s="61">
        <f>$C52 * VLOOKUP(2025, tblCPI[], MATCH(INDEX(tblCPI_Map[CPI Region], MATCH($A52, tblCPI_Map[Census Division and State], 0)), tblCPI[[#Headers],[West]:[National]], 0)+1, FALSE) /VLOOKUP(2024, tblCPI[], MATCH(INDEX(tblCPI_Map[CPI Region], MATCH($A52, tblCPI_Map[Census Division and State], 0)), tblCPI[[#Headers],[West]:[National]], 0)+1, FALSE)</f>
        <v>15.319052696391296</v>
      </c>
      <c r="H52" s="26">
        <f t="shared" si="0"/>
        <v>15.85</v>
      </c>
      <c r="J52" s="25" t="s">
        <v>228</v>
      </c>
      <c r="K52" s="26">
        <f t="shared" si="1"/>
        <v>0.4487312742740901</v>
      </c>
      <c r="L52" s="26">
        <f t="shared" si="2"/>
        <v>0.53094730360870379</v>
      </c>
      <c r="M52" s="26">
        <f t="shared" si="3"/>
        <v>-8.2216029334613694E-2</v>
      </c>
      <c r="O52" s="25" t="s">
        <v>228</v>
      </c>
      <c r="P52" s="26">
        <f t="shared" si="4"/>
        <v>3.67</v>
      </c>
      <c r="Q52" s="26">
        <f t="shared" si="5"/>
        <v>0.92999999999999972</v>
      </c>
      <c r="R52" s="26">
        <f t="shared" si="6"/>
        <v>2.74</v>
      </c>
    </row>
    <row r="53" spans="1:18" x14ac:dyDescent="0.25">
      <c r="A53" s="25" t="s">
        <v>229</v>
      </c>
      <c r="B53" s="44">
        <v>9.89</v>
      </c>
      <c r="C53" s="44">
        <v>11.52</v>
      </c>
      <c r="D53" s="26">
        <v>11.82</v>
      </c>
      <c r="E53" s="44"/>
      <c r="F53" s="61">
        <f>$B53 * VLOOKUP(2025, tblCPI[], MATCH(INDEX(tblCPI_Map[CPI Region], MATCH($A53, tblCPI_Map[Census Division and State], 0)), tblCPI[[#Headers],[West]:[National]], 0)+1, FALSE) /VLOOKUP(2019, tblCPI[], MATCH(INDEX(tblCPI_Map[CPI Region], MATCH($A53, tblCPI_Map[Census Division and State], 0)), tblCPI[[#Headers],[West]:[National]], 0)+1, FALSE)</f>
        <v>12.505627889772517</v>
      </c>
      <c r="G53" s="61">
        <f>$C53 * VLOOKUP(2025, tblCPI[], MATCH(INDEX(tblCPI_Map[CPI Region], MATCH($A53, tblCPI_Map[Census Division and State], 0)), tblCPI[[#Headers],[West]:[National]], 0)+1, FALSE) /VLOOKUP(2024, tblCPI[], MATCH(INDEX(tblCPI_Map[CPI Region], MATCH($A53, tblCPI_Map[Census Division and State], 0)), tblCPI[[#Headers],[West]:[National]], 0)+1, FALSE)</f>
        <v>11.828115754854405</v>
      </c>
      <c r="H53" s="26">
        <f t="shared" si="0"/>
        <v>11.82</v>
      </c>
      <c r="J53" s="25" t="s">
        <v>229</v>
      </c>
      <c r="K53" s="26">
        <f t="shared" si="1"/>
        <v>-0.68562788977251721</v>
      </c>
      <c r="L53" s="26">
        <f t="shared" si="2"/>
        <v>-8.1157548544048552E-3</v>
      </c>
      <c r="M53" s="26">
        <f t="shared" si="3"/>
        <v>-0.67751213491811235</v>
      </c>
      <c r="O53" s="25" t="s">
        <v>229</v>
      </c>
      <c r="P53" s="26">
        <f t="shared" si="4"/>
        <v>1.9299999999999997</v>
      </c>
      <c r="Q53" s="26">
        <f t="shared" si="5"/>
        <v>0.30000000000000071</v>
      </c>
      <c r="R53" s="26">
        <f t="shared" si="6"/>
        <v>1.629999999999999</v>
      </c>
    </row>
    <row r="54" spans="1:18" x14ac:dyDescent="0.25">
      <c r="A54" s="25" t="s">
        <v>230</v>
      </c>
      <c r="B54" s="44">
        <v>11.13</v>
      </c>
      <c r="C54" s="44">
        <v>12.66</v>
      </c>
      <c r="D54" s="26">
        <v>12.98</v>
      </c>
      <c r="E54" s="44"/>
      <c r="F54" s="61">
        <f>$B54 * VLOOKUP(2025, tblCPI[], MATCH(INDEX(tblCPI_Map[CPI Region], MATCH($A54, tblCPI_Map[Census Division and State], 0)), tblCPI[[#Headers],[West]:[National]], 0)+1, FALSE) /VLOOKUP(2019, tblCPI[], MATCH(INDEX(tblCPI_Map[CPI Region], MATCH($A54, tblCPI_Map[Census Division and State], 0)), tblCPI[[#Headers],[West]:[National]], 0)+1, FALSE)</f>
        <v>14.073573145921953</v>
      </c>
      <c r="G54" s="61">
        <f>$C54 * VLOOKUP(2025, tblCPI[], MATCH(INDEX(tblCPI_Map[CPI Region], MATCH($A54, tblCPI_Map[Census Division and State], 0)), tblCPI[[#Headers],[West]:[National]], 0)+1, FALSE) /VLOOKUP(2024, tblCPI[], MATCH(INDEX(tblCPI_Map[CPI Region], MATCH($A54, tblCPI_Map[Census Division and State], 0)), tblCPI[[#Headers],[West]:[National]], 0)+1, FALSE)</f>
        <v>12.998606376428539</v>
      </c>
      <c r="H54" s="26">
        <f t="shared" si="0"/>
        <v>12.98</v>
      </c>
      <c r="J54" s="25" t="s">
        <v>230</v>
      </c>
      <c r="K54" s="26">
        <f t="shared" si="1"/>
        <v>-1.0935731459219529</v>
      </c>
      <c r="L54" s="26">
        <f t="shared" si="2"/>
        <v>-1.860637642853824E-2</v>
      </c>
      <c r="M54" s="26">
        <f t="shared" si="3"/>
        <v>-1.0749667694934146</v>
      </c>
      <c r="O54" s="25" t="s">
        <v>230</v>
      </c>
      <c r="P54" s="26">
        <f t="shared" si="4"/>
        <v>1.8499999999999996</v>
      </c>
      <c r="Q54" s="26">
        <f t="shared" si="5"/>
        <v>0.32000000000000028</v>
      </c>
      <c r="R54" s="26">
        <f t="shared" si="6"/>
        <v>1.5299999999999994</v>
      </c>
    </row>
    <row r="55" spans="1:18" x14ac:dyDescent="0.25">
      <c r="A55" s="25" t="s">
        <v>231</v>
      </c>
      <c r="B55" s="44">
        <v>12</v>
      </c>
      <c r="C55" s="44">
        <v>15</v>
      </c>
      <c r="D55" s="26">
        <v>13.15</v>
      </c>
      <c r="E55" s="44"/>
      <c r="F55" s="61">
        <f>$B55 * VLOOKUP(2025, tblCPI[], MATCH(INDEX(tblCPI_Map[CPI Region], MATCH($A55, tblCPI_Map[Census Division and State], 0)), tblCPI[[#Headers],[West]:[National]], 0)+1, FALSE) /VLOOKUP(2019, tblCPI[], MATCH(INDEX(tblCPI_Map[CPI Region], MATCH($A55, tblCPI_Map[Census Division and State], 0)), tblCPI[[#Headers],[West]:[National]], 0)+1, FALSE)</f>
        <v>15.17366376918809</v>
      </c>
      <c r="G55" s="61">
        <f>$C55 * VLOOKUP(2025, tblCPI[], MATCH(INDEX(tblCPI_Map[CPI Region], MATCH($A55, tblCPI_Map[Census Division and State], 0)), tblCPI[[#Headers],[West]:[National]], 0)+1, FALSE) /VLOOKUP(2024, tblCPI[], MATCH(INDEX(tblCPI_Map[CPI Region], MATCH($A55, tblCPI_Map[Census Division and State], 0)), tblCPI[[#Headers],[West]:[National]], 0)+1, FALSE)</f>
        <v>15.401192389133341</v>
      </c>
      <c r="H55" s="26">
        <f t="shared" si="0"/>
        <v>13.15</v>
      </c>
      <c r="J55" s="25" t="s">
        <v>231</v>
      </c>
      <c r="K55" s="26">
        <f t="shared" si="1"/>
        <v>-2.0236637691880901</v>
      </c>
      <c r="L55" s="26">
        <f t="shared" si="2"/>
        <v>-2.2511923891333403</v>
      </c>
      <c r="M55" s="26">
        <f t="shared" si="3"/>
        <v>0.2275286199452502</v>
      </c>
      <c r="O55" s="25" t="s">
        <v>231</v>
      </c>
      <c r="P55" s="26">
        <f t="shared" si="4"/>
        <v>1.1500000000000004</v>
      </c>
      <c r="Q55" s="26">
        <f t="shared" si="5"/>
        <v>-1.8499999999999996</v>
      </c>
      <c r="R55" s="26">
        <f t="shared" si="6"/>
        <v>3</v>
      </c>
    </row>
    <row r="56" spans="1:18" x14ac:dyDescent="0.25">
      <c r="A56" s="25" t="s">
        <v>232</v>
      </c>
      <c r="B56" s="44">
        <v>12.51</v>
      </c>
      <c r="C56" s="44">
        <v>14.2</v>
      </c>
      <c r="D56" s="26">
        <v>15.08</v>
      </c>
      <c r="E56" s="44"/>
      <c r="F56" s="61">
        <f>$B56 * VLOOKUP(2025, tblCPI[], MATCH(INDEX(tblCPI_Map[CPI Region], MATCH($A56, tblCPI_Map[Census Division and State], 0)), tblCPI[[#Headers],[West]:[National]], 0)+1, FALSE) /VLOOKUP(2019, tblCPI[], MATCH(INDEX(tblCPI_Map[CPI Region], MATCH($A56, tblCPI_Map[Census Division and State], 0)), tblCPI[[#Headers],[West]:[National]], 0)+1, FALSE)</f>
        <v>15.818544479378581</v>
      </c>
      <c r="G56" s="61">
        <f>$C56 * VLOOKUP(2025, tblCPI[], MATCH(INDEX(tblCPI_Map[CPI Region], MATCH($A56, tblCPI_Map[Census Division and State], 0)), tblCPI[[#Headers],[West]:[National]], 0)+1, FALSE) /VLOOKUP(2024, tblCPI[], MATCH(INDEX(tblCPI_Map[CPI Region], MATCH($A56, tblCPI_Map[Census Division and State], 0)), tblCPI[[#Headers],[West]:[National]], 0)+1, FALSE)</f>
        <v>14.579795461712898</v>
      </c>
      <c r="H56" s="26">
        <f t="shared" si="0"/>
        <v>15.08</v>
      </c>
      <c r="J56" s="25" t="s">
        <v>232</v>
      </c>
      <c r="K56" s="26">
        <f t="shared" si="1"/>
        <v>-0.73854447937858048</v>
      </c>
      <c r="L56" s="26">
        <f t="shared" si="2"/>
        <v>0.5002045382871021</v>
      </c>
      <c r="M56" s="26">
        <f t="shared" si="3"/>
        <v>-1.2387490176656826</v>
      </c>
      <c r="O56" s="25" t="s">
        <v>232</v>
      </c>
      <c r="P56" s="26">
        <f t="shared" si="4"/>
        <v>2.5700000000000003</v>
      </c>
      <c r="Q56" s="26">
        <f t="shared" si="5"/>
        <v>0.88000000000000078</v>
      </c>
      <c r="R56" s="26">
        <f t="shared" si="6"/>
        <v>1.6899999999999995</v>
      </c>
    </row>
    <row r="57" spans="1:18" x14ac:dyDescent="0.25">
      <c r="A57" s="25" t="s">
        <v>233</v>
      </c>
      <c r="B57" s="44">
        <v>10.4</v>
      </c>
      <c r="C57" s="44">
        <v>12.22</v>
      </c>
      <c r="D57" s="26">
        <v>13.07</v>
      </c>
      <c r="E57" s="44"/>
      <c r="F57" s="61">
        <f>$B57 * VLOOKUP(2025, tblCPI[], MATCH(INDEX(tblCPI_Map[CPI Region], MATCH($A57, tblCPI_Map[Census Division and State], 0)), tblCPI[[#Headers],[West]:[National]], 0)+1, FALSE) /VLOOKUP(2019, tblCPI[], MATCH(INDEX(tblCPI_Map[CPI Region], MATCH($A57, tblCPI_Map[Census Division and State], 0)), tblCPI[[#Headers],[West]:[National]], 0)+1, FALSE)</f>
        <v>13.150508599963011</v>
      </c>
      <c r="G57" s="61">
        <f>$C57 * VLOOKUP(2025, tblCPI[], MATCH(INDEX(tblCPI_Map[CPI Region], MATCH($A57, tblCPI_Map[Census Division and State], 0)), tblCPI[[#Headers],[West]:[National]], 0)+1, FALSE) /VLOOKUP(2024, tblCPI[], MATCH(INDEX(tblCPI_Map[CPI Region], MATCH($A57, tblCPI_Map[Census Division and State], 0)), tblCPI[[#Headers],[West]:[National]], 0)+1, FALSE)</f>
        <v>12.546838066347295</v>
      </c>
      <c r="H57" s="26">
        <f t="shared" si="0"/>
        <v>13.07</v>
      </c>
      <c r="J57" s="25" t="s">
        <v>233</v>
      </c>
      <c r="K57" s="26">
        <f t="shared" si="1"/>
        <v>-8.0508599963010852E-2</v>
      </c>
      <c r="L57" s="26">
        <f t="shared" si="2"/>
        <v>0.52316193365270536</v>
      </c>
      <c r="M57" s="26">
        <f t="shared" si="3"/>
        <v>-0.60367053361571621</v>
      </c>
      <c r="O57" s="25" t="s">
        <v>233</v>
      </c>
      <c r="P57" s="26">
        <f t="shared" si="4"/>
        <v>2.67</v>
      </c>
      <c r="Q57" s="26">
        <f t="shared" si="5"/>
        <v>0.84999999999999964</v>
      </c>
      <c r="R57" s="26">
        <f t="shared" si="6"/>
        <v>1.8200000000000003</v>
      </c>
    </row>
    <row r="58" spans="1:18" x14ac:dyDescent="0.25">
      <c r="A58" s="25" t="s">
        <v>234</v>
      </c>
      <c r="B58" s="44">
        <v>11.18</v>
      </c>
      <c r="C58" s="44">
        <v>12.47</v>
      </c>
      <c r="D58" s="26">
        <v>13.38</v>
      </c>
      <c r="E58" s="44"/>
      <c r="F58" s="61">
        <f>$B58 * VLOOKUP(2025, tblCPI[], MATCH(INDEX(tblCPI_Map[CPI Region], MATCH($A58, tblCPI_Map[Census Division and State], 0)), tblCPI[[#Headers],[West]:[National]], 0)+1, FALSE) /VLOOKUP(2019, tblCPI[], MATCH(INDEX(tblCPI_Map[CPI Region], MATCH($A58, tblCPI_Map[Census Division and State], 0)), tblCPI[[#Headers],[West]:[National]], 0)+1, FALSE)</f>
        <v>14.136796744960236</v>
      </c>
      <c r="G58" s="61">
        <f>$C58 * VLOOKUP(2025, tblCPI[], MATCH(INDEX(tblCPI_Map[CPI Region], MATCH($A58, tblCPI_Map[Census Division and State], 0)), tblCPI[[#Headers],[West]:[National]], 0)+1, FALSE) /VLOOKUP(2024, tblCPI[], MATCH(INDEX(tblCPI_Map[CPI Region], MATCH($A58, tblCPI_Map[Census Division and State], 0)), tblCPI[[#Headers],[West]:[National]], 0)+1, FALSE)</f>
        <v>12.803524606166185</v>
      </c>
      <c r="H58" s="26">
        <f t="shared" si="0"/>
        <v>13.38</v>
      </c>
      <c r="J58" s="25" t="s">
        <v>234</v>
      </c>
      <c r="K58" s="26">
        <f t="shared" si="1"/>
        <v>-0.7567967449602353</v>
      </c>
      <c r="L58" s="26">
        <f t="shared" si="2"/>
        <v>0.57647539383381563</v>
      </c>
      <c r="M58" s="26">
        <f t="shared" si="3"/>
        <v>-1.3332721387940509</v>
      </c>
      <c r="O58" s="25" t="s">
        <v>234</v>
      </c>
      <c r="P58" s="26">
        <f t="shared" si="4"/>
        <v>2.2000000000000011</v>
      </c>
      <c r="Q58" s="26">
        <f t="shared" si="5"/>
        <v>0.91000000000000014</v>
      </c>
      <c r="R58" s="26">
        <f t="shared" si="6"/>
        <v>1.2900000000000009</v>
      </c>
    </row>
    <row r="59" spans="1:18" x14ac:dyDescent="0.25">
      <c r="A59" s="60" t="s">
        <v>235</v>
      </c>
      <c r="B59" s="44">
        <v>15.65</v>
      </c>
      <c r="C59" s="44">
        <v>24.23</v>
      </c>
      <c r="D59" s="26">
        <v>24.74</v>
      </c>
      <c r="E59" s="44"/>
      <c r="F59" s="61">
        <f>$B59 * VLOOKUP(2025, tblCPI[], MATCH(INDEX(tblCPI_Map[CPI Region], MATCH($A59, tblCPI_Map[Census Division and State], 0)), tblCPI[[#Headers],[West]:[National]], 0)+1, FALSE) /VLOOKUP(2019, tblCPI[], MATCH(INDEX(tblCPI_Map[CPI Region], MATCH($A59, tblCPI_Map[Census Division and State], 0)), tblCPI[[#Headers],[West]:[National]], 0)+1, FALSE)</f>
        <v>19.788986498982801</v>
      </c>
      <c r="G59" s="61">
        <f>$C59 * VLOOKUP(2025, tblCPI[], MATCH(INDEX(tblCPI_Map[CPI Region], MATCH($A59, tblCPI_Map[Census Division and State], 0)), tblCPI[[#Headers],[West]:[National]], 0)+1, FALSE) /VLOOKUP(2024, tblCPI[], MATCH(INDEX(tblCPI_Map[CPI Region], MATCH($A59, tblCPI_Map[Census Division and State], 0)), tblCPI[[#Headers],[West]:[National]], 0)+1, FALSE)</f>
        <v>24.878059439246726</v>
      </c>
      <c r="H59" s="26">
        <f t="shared" si="0"/>
        <v>24.74</v>
      </c>
      <c r="J59" s="60" t="s">
        <v>235</v>
      </c>
      <c r="K59" s="26">
        <f t="shared" si="1"/>
        <v>4.9510135010171972</v>
      </c>
      <c r="L59" s="26">
        <f t="shared" si="2"/>
        <v>-0.13805943924672803</v>
      </c>
      <c r="M59" s="26">
        <f t="shared" si="3"/>
        <v>5.0890729402639252</v>
      </c>
      <c r="O59" s="60" t="s">
        <v>235</v>
      </c>
      <c r="P59" s="26">
        <f t="shared" si="4"/>
        <v>9.0899999999999981</v>
      </c>
      <c r="Q59" s="26">
        <f t="shared" si="5"/>
        <v>0.50999999999999801</v>
      </c>
      <c r="R59" s="26">
        <f t="shared" si="6"/>
        <v>8.58</v>
      </c>
    </row>
    <row r="60" spans="1:18" x14ac:dyDescent="0.25">
      <c r="A60" s="25" t="s">
        <v>236</v>
      </c>
      <c r="B60" s="44">
        <v>19.149999999999999</v>
      </c>
      <c r="C60" s="44">
        <v>31.97</v>
      </c>
      <c r="D60" s="26">
        <v>32.54</v>
      </c>
      <c r="E60" s="44"/>
      <c r="F60" s="61">
        <f>$B60 * VLOOKUP(2025, tblCPI[], MATCH(INDEX(tblCPI_Map[CPI Region], MATCH($A60, tblCPI_Map[Census Division and State], 0)), tblCPI[[#Headers],[West]:[National]], 0)+1, FALSE) /VLOOKUP(2019, tblCPI[], MATCH(INDEX(tblCPI_Map[CPI Region], MATCH($A60, tblCPI_Map[Census Division and State], 0)), tblCPI[[#Headers],[West]:[National]], 0)+1, FALSE)</f>
        <v>24.214638431662657</v>
      </c>
      <c r="G60" s="61">
        <f>$C60 * VLOOKUP(2025, tblCPI[], MATCH(INDEX(tblCPI_Map[CPI Region], MATCH($A60, tblCPI_Map[Census Division and State], 0)), tblCPI[[#Headers],[West]:[National]], 0)+1, FALSE) /VLOOKUP(2024, tblCPI[], MATCH(INDEX(tblCPI_Map[CPI Region], MATCH($A60, tblCPI_Map[Census Division and State], 0)), tblCPI[[#Headers],[West]:[National]], 0)+1, FALSE)</f>
        <v>32.825074712039523</v>
      </c>
      <c r="H60" s="26">
        <f t="shared" si="0"/>
        <v>32.54</v>
      </c>
      <c r="J60" s="25" t="s">
        <v>236</v>
      </c>
      <c r="K60" s="26">
        <f t="shared" si="1"/>
        <v>8.3253615683373425</v>
      </c>
      <c r="L60" s="26">
        <f t="shared" si="2"/>
        <v>-0.28507471203952406</v>
      </c>
      <c r="M60" s="26">
        <f t="shared" si="3"/>
        <v>8.6104362803768666</v>
      </c>
      <c r="O60" s="25" t="s">
        <v>236</v>
      </c>
      <c r="P60" s="26">
        <f t="shared" si="4"/>
        <v>13.39</v>
      </c>
      <c r="Q60" s="26">
        <f t="shared" si="5"/>
        <v>0.57000000000000028</v>
      </c>
      <c r="R60" s="26">
        <f t="shared" si="6"/>
        <v>12.82</v>
      </c>
    </row>
    <row r="61" spans="1:18" x14ac:dyDescent="0.25">
      <c r="A61" s="25" t="s">
        <v>237</v>
      </c>
      <c r="B61" s="44">
        <v>11.01</v>
      </c>
      <c r="C61" s="44">
        <v>14.7</v>
      </c>
      <c r="D61" s="26">
        <v>15.37</v>
      </c>
      <c r="E61" s="44"/>
      <c r="F61" s="61">
        <f>$B61 * VLOOKUP(2025, tblCPI[], MATCH(INDEX(tblCPI_Map[CPI Region], MATCH($A61, tblCPI_Map[Census Division and State], 0)), tblCPI[[#Headers],[West]:[National]], 0)+1, FALSE) /VLOOKUP(2019, tblCPI[], MATCH(INDEX(tblCPI_Map[CPI Region], MATCH($A61, tblCPI_Map[Census Division and State], 0)), tblCPI[[#Headers],[West]:[National]], 0)+1, FALSE)</f>
        <v>13.921836508230072</v>
      </c>
      <c r="G61" s="61">
        <f>$C61 * VLOOKUP(2025, tblCPI[], MATCH(INDEX(tblCPI_Map[CPI Region], MATCH($A61, tblCPI_Map[Census Division and State], 0)), tblCPI[[#Headers],[West]:[National]], 0)+1, FALSE) /VLOOKUP(2024, tblCPI[], MATCH(INDEX(tblCPI_Map[CPI Region], MATCH($A61, tblCPI_Map[Census Division and State], 0)), tblCPI[[#Headers],[West]:[National]], 0)+1, FALSE)</f>
        <v>15.093168541350673</v>
      </c>
      <c r="H61" s="26">
        <f t="shared" si="0"/>
        <v>15.37</v>
      </c>
      <c r="J61" s="25" t="s">
        <v>237</v>
      </c>
      <c r="K61" s="26">
        <f t="shared" si="1"/>
        <v>1.4481634917699271</v>
      </c>
      <c r="L61" s="26">
        <f t="shared" si="2"/>
        <v>0.27683145864932612</v>
      </c>
      <c r="M61" s="26">
        <f t="shared" si="3"/>
        <v>1.171332033120601</v>
      </c>
      <c r="O61" s="25" t="s">
        <v>237</v>
      </c>
      <c r="P61" s="26">
        <f t="shared" si="4"/>
        <v>4.3599999999999994</v>
      </c>
      <c r="Q61" s="26">
        <f t="shared" si="5"/>
        <v>0.66999999999999993</v>
      </c>
      <c r="R61" s="26">
        <f t="shared" si="6"/>
        <v>3.6899999999999995</v>
      </c>
    </row>
    <row r="62" spans="1:18" x14ac:dyDescent="0.25">
      <c r="A62" s="25" t="s">
        <v>238</v>
      </c>
      <c r="B62" s="44">
        <v>9.7100000000000009</v>
      </c>
      <c r="C62" s="44">
        <v>11.9</v>
      </c>
      <c r="D62" s="26">
        <v>13.11</v>
      </c>
      <c r="E62" s="44"/>
      <c r="F62" s="61">
        <f>$B62 * VLOOKUP(2025, tblCPI[], MATCH(INDEX(tblCPI_Map[CPI Region], MATCH($A62, tblCPI_Map[Census Division and State], 0)), tblCPI[[#Headers],[West]:[National]], 0)+1, FALSE) /VLOOKUP(2019, tblCPI[], MATCH(INDEX(tblCPI_Map[CPI Region], MATCH($A62, tblCPI_Map[Census Division and State], 0)), tblCPI[[#Headers],[West]:[National]], 0)+1, FALSE)</f>
        <v>12.278022933234697</v>
      </c>
      <c r="G62" s="61">
        <f>$C62 * VLOOKUP(2025, tblCPI[], MATCH(INDEX(tblCPI_Map[CPI Region], MATCH($A62, tblCPI_Map[Census Division and State], 0)), tblCPI[[#Headers],[West]:[National]], 0)+1, FALSE) /VLOOKUP(2024, tblCPI[], MATCH(INDEX(tblCPI_Map[CPI Region], MATCH($A62, tblCPI_Map[Census Division and State], 0)), tblCPI[[#Headers],[West]:[National]], 0)+1, FALSE)</f>
        <v>12.218279295379117</v>
      </c>
      <c r="H62" s="26">
        <f t="shared" si="0"/>
        <v>13.11</v>
      </c>
      <c r="J62" s="25" t="s">
        <v>238</v>
      </c>
      <c r="K62" s="26">
        <f t="shared" si="1"/>
        <v>0.83197706676530281</v>
      </c>
      <c r="L62" s="26">
        <f t="shared" si="2"/>
        <v>0.89172070462088193</v>
      </c>
      <c r="M62" s="26">
        <f t="shared" si="3"/>
        <v>-5.9743637855579124E-2</v>
      </c>
      <c r="O62" s="25" t="s">
        <v>238</v>
      </c>
      <c r="P62" s="26">
        <f t="shared" si="4"/>
        <v>3.3999999999999986</v>
      </c>
      <c r="Q62" s="26">
        <f t="shared" si="5"/>
        <v>1.2099999999999991</v>
      </c>
      <c r="R62" s="26">
        <f t="shared" si="6"/>
        <v>2.1899999999999995</v>
      </c>
    </row>
    <row r="63" spans="1:18" x14ac:dyDescent="0.25">
      <c r="A63" s="60" t="s">
        <v>239</v>
      </c>
      <c r="B63" s="44">
        <v>28.3</v>
      </c>
      <c r="C63" s="44">
        <v>34.950000000000003</v>
      </c>
      <c r="D63" s="26">
        <v>34.4</v>
      </c>
      <c r="E63" s="44"/>
      <c r="F63" s="61">
        <f>$B63 * VLOOKUP(2025, tblCPI[], MATCH(INDEX(tblCPI_Map[CPI Region], MATCH($A63, tblCPI_Map[Census Division and State], 0)), tblCPI[[#Headers],[West]:[National]], 0)+1, FALSE) /VLOOKUP(2019, tblCPI[], MATCH(INDEX(tblCPI_Map[CPI Region], MATCH($A63, tblCPI_Map[Census Division and State], 0)), tblCPI[[#Headers],[West]:[National]], 0)+1, FALSE)</f>
        <v>35.784557055668579</v>
      </c>
      <c r="G63" s="61">
        <f>$C63 * VLOOKUP(2025, tblCPI[], MATCH(INDEX(tblCPI_Map[CPI Region], MATCH($A63, tblCPI_Map[Census Division and State], 0)), tblCPI[[#Headers],[West]:[National]], 0)+1, FALSE) /VLOOKUP(2024, tblCPI[], MATCH(INDEX(tblCPI_Map[CPI Region], MATCH($A63, tblCPI_Map[Census Division and State], 0)), tblCPI[[#Headers],[West]:[National]], 0)+1, FALSE)</f>
        <v>35.884778266680691</v>
      </c>
      <c r="H63" s="26">
        <f t="shared" si="0"/>
        <v>34.4</v>
      </c>
      <c r="J63" s="60" t="s">
        <v>239</v>
      </c>
      <c r="K63" s="26">
        <f t="shared" si="1"/>
        <v>-1.38455705566858</v>
      </c>
      <c r="L63" s="26">
        <f t="shared" si="2"/>
        <v>-1.4847782666806921</v>
      </c>
      <c r="M63" s="26">
        <f t="shared" si="3"/>
        <v>0.10022121101211212</v>
      </c>
      <c r="O63" s="60" t="s">
        <v>239</v>
      </c>
      <c r="P63" s="26">
        <f t="shared" si="4"/>
        <v>6.0999999999999979</v>
      </c>
      <c r="Q63" s="26">
        <f t="shared" si="5"/>
        <v>-0.55000000000000426</v>
      </c>
      <c r="R63" s="26">
        <f t="shared" si="6"/>
        <v>6.6500000000000021</v>
      </c>
    </row>
    <row r="64" spans="1:18" x14ac:dyDescent="0.25">
      <c r="A64" s="25" t="s">
        <v>240</v>
      </c>
      <c r="B64" s="44">
        <v>22.92</v>
      </c>
      <c r="C64" s="44">
        <v>24.82</v>
      </c>
      <c r="D64" s="26">
        <v>26.09</v>
      </c>
      <c r="E64" s="44"/>
      <c r="F64" s="61">
        <f>$B64 * VLOOKUP(2025, tblCPI[], MATCH(INDEX(tblCPI_Map[CPI Region], MATCH($A64, tblCPI_Map[Census Division and State], 0)), tblCPI[[#Headers],[West]:[National]], 0)+1, FALSE) /VLOOKUP(2019, tblCPI[], MATCH(INDEX(tblCPI_Map[CPI Region], MATCH($A64, tblCPI_Map[Census Division and State], 0)), tblCPI[[#Headers],[West]:[National]], 0)+1, FALSE)</f>
        <v>28.981697799149252</v>
      </c>
      <c r="G64" s="61">
        <f>$C64 * VLOOKUP(2025, tblCPI[], MATCH(INDEX(tblCPI_Map[CPI Region], MATCH($A64, tblCPI_Map[Census Division and State], 0)), tblCPI[[#Headers],[West]:[National]], 0)+1, FALSE) /VLOOKUP(2024, tblCPI[], MATCH(INDEX(tblCPI_Map[CPI Region], MATCH($A64, tblCPI_Map[Census Division and State], 0)), tblCPI[[#Headers],[West]:[National]], 0)+1, FALSE)</f>
        <v>25.483839673219304</v>
      </c>
      <c r="H64" s="26">
        <f t="shared" si="0"/>
        <v>26.09</v>
      </c>
      <c r="J64" s="25" t="s">
        <v>240</v>
      </c>
      <c r="K64" s="26">
        <f t="shared" si="1"/>
        <v>-2.8916977991492523</v>
      </c>
      <c r="L64" s="26">
        <f t="shared" si="2"/>
        <v>0.60616032678069587</v>
      </c>
      <c r="M64" s="26">
        <f t="shared" si="3"/>
        <v>-3.4978581259299482</v>
      </c>
      <c r="O64" s="25" t="s">
        <v>240</v>
      </c>
      <c r="P64" s="26">
        <f t="shared" si="4"/>
        <v>3.1699999999999982</v>
      </c>
      <c r="Q64" s="26">
        <f t="shared" si="5"/>
        <v>1.2699999999999996</v>
      </c>
      <c r="R64" s="26">
        <f t="shared" si="6"/>
        <v>1.8999999999999986</v>
      </c>
    </row>
    <row r="65" spans="1:18" x14ac:dyDescent="0.25">
      <c r="A65" s="25" t="s">
        <v>241</v>
      </c>
      <c r="B65" s="44">
        <v>32.06</v>
      </c>
      <c r="C65" s="44">
        <v>42.86</v>
      </c>
      <c r="D65" s="26">
        <v>40.590000000000003</v>
      </c>
      <c r="E65" s="44"/>
      <c r="F65" s="61">
        <f>$B65 * VLOOKUP(2025, tblCPI[], MATCH(INDEX(tblCPI_Map[CPI Region], MATCH($A65, tblCPI_Map[Census Division and State], 0)), tblCPI[[#Headers],[West]:[National]], 0)+1, FALSE) /VLOOKUP(2019, tblCPI[], MATCH(INDEX(tblCPI_Map[CPI Region], MATCH($A65, tblCPI_Map[Census Division and State], 0)), tblCPI[[#Headers],[West]:[National]], 0)+1, FALSE)</f>
        <v>40.538971703347514</v>
      </c>
      <c r="G65" s="61">
        <f>$C65 * VLOOKUP(2025, tblCPI[], MATCH(INDEX(tblCPI_Map[CPI Region], MATCH($A65, tblCPI_Map[Census Division and State], 0)), tblCPI[[#Headers],[West]:[National]], 0)+1, FALSE) /VLOOKUP(2024, tblCPI[], MATCH(INDEX(tblCPI_Map[CPI Region], MATCH($A65, tblCPI_Map[Census Division and State], 0)), tblCPI[[#Headers],[West]:[National]], 0)+1, FALSE)</f>
        <v>44.006340386550335</v>
      </c>
      <c r="H65" s="26">
        <f t="shared" si="0"/>
        <v>40.590000000000003</v>
      </c>
      <c r="J65" s="25" t="s">
        <v>241</v>
      </c>
      <c r="K65" s="26">
        <f t="shared" si="1"/>
        <v>5.1028296652489757E-2</v>
      </c>
      <c r="L65" s="26">
        <f t="shared" si="2"/>
        <v>-3.4163403865503312</v>
      </c>
      <c r="M65" s="26">
        <f t="shared" si="3"/>
        <v>3.467368683202821</v>
      </c>
      <c r="O65" s="25" t="s">
        <v>241</v>
      </c>
      <c r="P65" s="26">
        <f t="shared" si="4"/>
        <v>8.5300000000000011</v>
      </c>
      <c r="Q65" s="26">
        <f t="shared" si="5"/>
        <v>-2.269999999999996</v>
      </c>
      <c r="R65" s="26">
        <f t="shared" si="6"/>
        <v>10.799999999999997</v>
      </c>
    </row>
    <row r="66" spans="1:18" x14ac:dyDescent="0.25">
      <c r="A66" s="60" t="s">
        <v>242</v>
      </c>
      <c r="B66" s="44">
        <v>13.01</v>
      </c>
      <c r="C66" s="44">
        <v>16.48</v>
      </c>
      <c r="D66" s="26">
        <v>17.3</v>
      </c>
      <c r="E66" s="44"/>
      <c r="F66" s="61">
        <f>$B66 * VLOOKUP(2025, tblCPI[], MATCH(INDEX(tblCPI_Map[CPI Region], MATCH($A66, tblCPI_Map[Census Division and State], 0)), tblCPI[[#Headers],[West]:[National]], 0)+1, FALSE) /VLOOKUP(2019, tblCPI[], MATCH(INDEX(tblCPI_Map[CPI Region], MATCH($A66, tblCPI_Map[Census Division and State], 0)), tblCPI[[#Headers],[West]:[National]], 0)+1, FALSE)</f>
        <v>16.383194788329675</v>
      </c>
      <c r="G66" s="61">
        <f>$C66 * VLOOKUP(2025, tblCPI[], MATCH(INDEX(tblCPI_Map[CPI Region], MATCH($A66, tblCPI_Map[Census Division and State], 0)), tblCPI[[#Headers],[West]:[National]], 0)+1, FALSE) /VLOOKUP(2024, tblCPI[], MATCH(INDEX(tblCPI_Map[CPI Region], MATCH($A66, tblCPI_Map[Census Division and State], 0)), tblCPI[[#Headers],[West]:[National]], 0)+1, FALSE)</f>
        <v>16.913633056944935</v>
      </c>
      <c r="H66" s="26">
        <f t="shared" si="0"/>
        <v>17.3</v>
      </c>
      <c r="J66" s="60" t="s">
        <v>242</v>
      </c>
      <c r="K66" s="26">
        <f t="shared" si="1"/>
        <v>0.9168052116703258</v>
      </c>
      <c r="L66" s="26">
        <f t="shared" si="2"/>
        <v>0.3863669430550658</v>
      </c>
      <c r="M66" s="26">
        <f t="shared" si="3"/>
        <v>0.53043826861526</v>
      </c>
      <c r="O66" s="60" t="s">
        <v>242</v>
      </c>
      <c r="P66" s="26">
        <f t="shared" si="4"/>
        <v>4.2900000000000009</v>
      </c>
      <c r="Q66" s="26">
        <f t="shared" si="5"/>
        <v>0.82000000000000028</v>
      </c>
      <c r="R66" s="26">
        <f t="shared" si="6"/>
        <v>3.4700000000000006</v>
      </c>
    </row>
    <row r="68" spans="1:18" x14ac:dyDescent="0.25">
      <c r="H68" s="277"/>
      <c r="K68" s="26"/>
      <c r="L68" s="26"/>
    </row>
    <row r="69" spans="1:18" x14ac:dyDescent="0.25">
      <c r="A69" t="s">
        <v>197</v>
      </c>
      <c r="B69" s="28" t="s">
        <v>356</v>
      </c>
      <c r="C69"/>
      <c r="H69" s="46"/>
    </row>
    <row r="70" spans="1:18" x14ac:dyDescent="0.25">
      <c r="A70"/>
      <c r="B70" s="28" t="s">
        <v>367</v>
      </c>
      <c r="C70"/>
    </row>
    <row r="71" spans="1:18" x14ac:dyDescent="0.25">
      <c r="A71"/>
      <c r="B71" s="28"/>
      <c r="C71"/>
    </row>
    <row r="72" spans="1:18" x14ac:dyDescent="0.25">
      <c r="A72" t="s">
        <v>205</v>
      </c>
      <c r="B72" s="28" t="s">
        <v>357</v>
      </c>
      <c r="C72"/>
    </row>
    <row r="76" spans="1:18" x14ac:dyDescent="0.25">
      <c r="D76" s="28"/>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84F90-EC69-401F-B0E0-E5C620D80A3A}">
  <sheetPr>
    <tabColor theme="5" tint="0.59999389629810485"/>
  </sheetPr>
  <dimension ref="A1:F71"/>
  <sheetViews>
    <sheetView workbookViewId="0">
      <selection activeCell="AA47" sqref="AA47"/>
    </sheetView>
  </sheetViews>
  <sheetFormatPr defaultRowHeight="15" x14ac:dyDescent="0.25"/>
  <cols>
    <col min="1" max="1" width="29" style="25" customWidth="1"/>
    <col min="2" max="2" width="27.85546875" style="25" customWidth="1"/>
    <col min="3" max="3" width="13.140625" style="25" customWidth="1"/>
  </cols>
  <sheetData>
    <row r="1" spans="1:3" x14ac:dyDescent="0.25">
      <c r="A1" s="59" t="s">
        <v>45</v>
      </c>
    </row>
    <row r="2" spans="1:3" x14ac:dyDescent="0.25">
      <c r="A2" s="28" t="s">
        <v>46</v>
      </c>
    </row>
    <row r="4" spans="1:3" ht="30" x14ac:dyDescent="0.25">
      <c r="A4" s="27" t="s">
        <v>165</v>
      </c>
      <c r="B4" s="43" t="s">
        <v>371</v>
      </c>
      <c r="C4" s="43"/>
    </row>
    <row r="5" spans="1:3" x14ac:dyDescent="0.25">
      <c r="A5" s="60" t="s">
        <v>167</v>
      </c>
      <c r="B5" s="26">
        <v>28.91</v>
      </c>
      <c r="C5" s="26"/>
    </row>
    <row r="6" spans="1:3" x14ac:dyDescent="0.25">
      <c r="A6" s="25" t="s">
        <v>168</v>
      </c>
      <c r="B6" s="26">
        <v>29.38</v>
      </c>
      <c r="C6" s="26"/>
    </row>
    <row r="7" spans="1:3" x14ac:dyDescent="0.25">
      <c r="A7" s="25" t="s">
        <v>169</v>
      </c>
      <c r="B7" s="26">
        <v>27.78</v>
      </c>
      <c r="C7" s="26"/>
    </row>
    <row r="8" spans="1:3" x14ac:dyDescent="0.25">
      <c r="A8" s="25" t="s">
        <v>170</v>
      </c>
      <c r="B8" s="26">
        <v>30.48</v>
      </c>
      <c r="C8" s="26"/>
    </row>
    <row r="9" spans="1:3" x14ac:dyDescent="0.25">
      <c r="A9" s="25" t="s">
        <v>171</v>
      </c>
      <c r="B9" s="26">
        <v>24.56</v>
      </c>
      <c r="C9" s="26"/>
    </row>
    <row r="10" spans="1:3" x14ac:dyDescent="0.25">
      <c r="A10" s="25" t="s">
        <v>172</v>
      </c>
      <c r="B10" s="26">
        <v>29.46</v>
      </c>
      <c r="C10" s="26"/>
    </row>
    <row r="11" spans="1:3" x14ac:dyDescent="0.25">
      <c r="A11" s="25" t="s">
        <v>173</v>
      </c>
      <c r="B11" s="26">
        <v>22.92</v>
      </c>
      <c r="C11" s="26"/>
    </row>
    <row r="12" spans="1:3" x14ac:dyDescent="0.25">
      <c r="A12" s="60" t="s">
        <v>174</v>
      </c>
      <c r="B12" s="26">
        <v>22.7</v>
      </c>
      <c r="C12" s="26"/>
    </row>
    <row r="13" spans="1:3" x14ac:dyDescent="0.25">
      <c r="A13" s="25" t="s">
        <v>175</v>
      </c>
      <c r="B13" s="26">
        <v>22.63</v>
      </c>
      <c r="C13" s="26"/>
    </row>
    <row r="14" spans="1:3" x14ac:dyDescent="0.25">
      <c r="A14" s="25" t="s">
        <v>176</v>
      </c>
      <c r="B14" s="26">
        <v>26.39</v>
      </c>
      <c r="C14" s="26"/>
    </row>
    <row r="15" spans="1:3" x14ac:dyDescent="0.25">
      <c r="A15" s="25" t="s">
        <v>177</v>
      </c>
      <c r="B15" s="26">
        <v>19.3</v>
      </c>
      <c r="C15" s="26"/>
    </row>
    <row r="16" spans="1:3" x14ac:dyDescent="0.25">
      <c r="A16" s="60" t="s">
        <v>178</v>
      </c>
      <c r="B16" s="26">
        <v>17.7</v>
      </c>
      <c r="C16" s="26"/>
    </row>
    <row r="17" spans="1:6" x14ac:dyDescent="0.25">
      <c r="A17" s="25" t="s">
        <v>179</v>
      </c>
      <c r="B17" s="26">
        <v>17.690000000000001</v>
      </c>
      <c r="C17" s="26"/>
    </row>
    <row r="18" spans="1:6" x14ac:dyDescent="0.25">
      <c r="A18" s="25" t="s">
        <v>180</v>
      </c>
      <c r="B18" s="26">
        <v>16.23</v>
      </c>
      <c r="C18" s="26"/>
    </row>
    <row r="19" spans="1:6" x14ac:dyDescent="0.25">
      <c r="A19" s="25" t="s">
        <v>181</v>
      </c>
      <c r="B19" s="26">
        <v>20.010000000000002</v>
      </c>
      <c r="C19" s="26"/>
    </row>
    <row r="20" spans="1:6" x14ac:dyDescent="0.25">
      <c r="A20" s="25" t="s">
        <v>182</v>
      </c>
      <c r="B20" s="26">
        <v>16.96</v>
      </c>
      <c r="D20" s="45"/>
      <c r="E20" s="47"/>
      <c r="F20" s="47"/>
    </row>
    <row r="21" spans="1:6" x14ac:dyDescent="0.25">
      <c r="A21" s="25" t="s">
        <v>185</v>
      </c>
      <c r="B21" s="26">
        <v>18.16</v>
      </c>
    </row>
    <row r="22" spans="1:6" x14ac:dyDescent="0.25">
      <c r="A22" s="60" t="s">
        <v>188</v>
      </c>
      <c r="B22" s="26">
        <v>13.95</v>
      </c>
    </row>
    <row r="23" spans="1:6" x14ac:dyDescent="0.25">
      <c r="A23" s="25" t="s">
        <v>191</v>
      </c>
      <c r="B23" s="26">
        <v>13.72</v>
      </c>
    </row>
    <row r="24" spans="1:6" x14ac:dyDescent="0.25">
      <c r="A24" s="25" t="s">
        <v>193</v>
      </c>
      <c r="B24" s="26">
        <v>14.56</v>
      </c>
    </row>
    <row r="25" spans="1:6" x14ac:dyDescent="0.25">
      <c r="A25" s="25" t="s">
        <v>195</v>
      </c>
      <c r="B25" s="26">
        <v>15.82</v>
      </c>
    </row>
    <row r="26" spans="1:6" x14ac:dyDescent="0.25">
      <c r="A26" s="25" t="s">
        <v>196</v>
      </c>
      <c r="B26" s="26">
        <v>13.49</v>
      </c>
    </row>
    <row r="27" spans="1:6" x14ac:dyDescent="0.25">
      <c r="A27" s="25" t="s">
        <v>199</v>
      </c>
      <c r="B27" s="26">
        <v>12.34</v>
      </c>
    </row>
    <row r="28" spans="1:6" x14ac:dyDescent="0.25">
      <c r="A28" s="25" t="s">
        <v>201</v>
      </c>
      <c r="B28" s="26">
        <v>11.81</v>
      </c>
    </row>
    <row r="29" spans="1:6" x14ac:dyDescent="0.25">
      <c r="A29" s="25" t="s">
        <v>203</v>
      </c>
      <c r="B29" s="26">
        <v>13.38</v>
      </c>
    </row>
    <row r="30" spans="1:6" x14ac:dyDescent="0.25">
      <c r="A30" s="60" t="s">
        <v>204</v>
      </c>
      <c r="B30" s="26">
        <v>15.31</v>
      </c>
    </row>
    <row r="31" spans="1:6" x14ac:dyDescent="0.25">
      <c r="A31" s="25" t="s">
        <v>207</v>
      </c>
      <c r="B31" s="26">
        <v>17.13</v>
      </c>
    </row>
    <row r="32" spans="1:6" x14ac:dyDescent="0.25">
      <c r="A32" s="25" t="s">
        <v>208</v>
      </c>
      <c r="B32" s="26">
        <v>21.94</v>
      </c>
    </row>
    <row r="33" spans="1:2" x14ac:dyDescent="0.25">
      <c r="A33" s="25" t="s">
        <v>209</v>
      </c>
      <c r="B33" s="26">
        <v>15.24</v>
      </c>
    </row>
    <row r="34" spans="1:2" x14ac:dyDescent="0.25">
      <c r="A34" s="25" t="s">
        <v>210</v>
      </c>
      <c r="B34" s="26">
        <v>14.73</v>
      </c>
    </row>
    <row r="35" spans="1:2" x14ac:dyDescent="0.25">
      <c r="A35" s="25" t="s">
        <v>211</v>
      </c>
      <c r="B35" s="26">
        <v>19.48</v>
      </c>
    </row>
    <row r="36" spans="1:2" x14ac:dyDescent="0.25">
      <c r="A36" s="25" t="s">
        <v>212</v>
      </c>
      <c r="B36" s="26">
        <v>14.02</v>
      </c>
    </row>
    <row r="37" spans="1:2" x14ac:dyDescent="0.25">
      <c r="A37" s="25" t="s">
        <v>213</v>
      </c>
      <c r="B37" s="26">
        <v>14.96</v>
      </c>
    </row>
    <row r="38" spans="1:2" x14ac:dyDescent="0.25">
      <c r="A38" s="25" t="s">
        <v>214</v>
      </c>
      <c r="B38" s="26">
        <v>15.28</v>
      </c>
    </row>
    <row r="39" spans="1:2" x14ac:dyDescent="0.25">
      <c r="A39" s="25" t="s">
        <v>215</v>
      </c>
      <c r="B39" s="26">
        <v>15.41</v>
      </c>
    </row>
    <row r="40" spans="1:2" x14ac:dyDescent="0.25">
      <c r="A40" s="60" t="s">
        <v>216</v>
      </c>
      <c r="B40" s="26">
        <v>14.1</v>
      </c>
    </row>
    <row r="41" spans="1:2" x14ac:dyDescent="0.25">
      <c r="A41" s="25" t="s">
        <v>217</v>
      </c>
      <c r="B41" s="26">
        <v>16.100000000000001</v>
      </c>
    </row>
    <row r="42" spans="1:2" x14ac:dyDescent="0.25">
      <c r="A42" s="25" t="s">
        <v>218</v>
      </c>
      <c r="B42" s="26">
        <v>13.24</v>
      </c>
    </row>
    <row r="43" spans="1:2" x14ac:dyDescent="0.25">
      <c r="A43" s="25" t="s">
        <v>219</v>
      </c>
      <c r="B43" s="26">
        <v>14.03</v>
      </c>
    </row>
    <row r="44" spans="1:2" x14ac:dyDescent="0.25">
      <c r="A44" s="25" t="s">
        <v>220</v>
      </c>
      <c r="B44" s="26">
        <v>13.18</v>
      </c>
    </row>
    <row r="45" spans="1:2" x14ac:dyDescent="0.25">
      <c r="A45" s="60" t="s">
        <v>221</v>
      </c>
      <c r="B45" s="26">
        <v>14.65</v>
      </c>
    </row>
    <row r="46" spans="1:2" x14ac:dyDescent="0.25">
      <c r="A46" s="25" t="s">
        <v>222</v>
      </c>
      <c r="B46" s="26">
        <v>12.84</v>
      </c>
    </row>
    <row r="47" spans="1:2" x14ac:dyDescent="0.25">
      <c r="A47" s="25" t="s">
        <v>223</v>
      </c>
      <c r="B47" s="26">
        <v>12.57</v>
      </c>
    </row>
    <row r="48" spans="1:2" x14ac:dyDescent="0.25">
      <c r="A48" s="25" t="s">
        <v>224</v>
      </c>
      <c r="B48" s="26">
        <v>13.12</v>
      </c>
    </row>
    <row r="49" spans="1:2" x14ac:dyDescent="0.25">
      <c r="A49" s="25" t="s">
        <v>225</v>
      </c>
      <c r="B49" s="26">
        <v>15.47</v>
      </c>
    </row>
    <row r="50" spans="1:2" x14ac:dyDescent="0.25">
      <c r="A50" s="60" t="s">
        <v>226</v>
      </c>
      <c r="B50" s="26">
        <v>14.41</v>
      </c>
    </row>
    <row r="51" spans="1:2" x14ac:dyDescent="0.25">
      <c r="A51" s="25" t="s">
        <v>227</v>
      </c>
      <c r="B51" s="26">
        <v>15.32</v>
      </c>
    </row>
    <row r="52" spans="1:2" x14ac:dyDescent="0.25">
      <c r="A52" s="25" t="s">
        <v>228</v>
      </c>
      <c r="B52" s="26">
        <v>15.85</v>
      </c>
    </row>
    <row r="53" spans="1:2" x14ac:dyDescent="0.25">
      <c r="A53" s="25" t="s">
        <v>229</v>
      </c>
      <c r="B53" s="26">
        <v>11.82</v>
      </c>
    </row>
    <row r="54" spans="1:2" x14ac:dyDescent="0.25">
      <c r="A54" s="25" t="s">
        <v>230</v>
      </c>
      <c r="B54" s="26">
        <v>12.98</v>
      </c>
    </row>
    <row r="55" spans="1:2" x14ac:dyDescent="0.25">
      <c r="A55" s="25" t="s">
        <v>231</v>
      </c>
      <c r="B55" s="26">
        <v>13.15</v>
      </c>
    </row>
    <row r="56" spans="1:2" x14ac:dyDescent="0.25">
      <c r="A56" s="25" t="s">
        <v>232</v>
      </c>
      <c r="B56" s="26">
        <v>15.08</v>
      </c>
    </row>
    <row r="57" spans="1:2" x14ac:dyDescent="0.25">
      <c r="A57" s="25" t="s">
        <v>233</v>
      </c>
      <c r="B57" s="26">
        <v>13.07</v>
      </c>
    </row>
    <row r="58" spans="1:2" x14ac:dyDescent="0.25">
      <c r="A58" s="25" t="s">
        <v>234</v>
      </c>
      <c r="B58" s="26">
        <v>13.38</v>
      </c>
    </row>
    <row r="59" spans="1:2" x14ac:dyDescent="0.25">
      <c r="A59" s="60" t="s">
        <v>235</v>
      </c>
      <c r="B59" s="26">
        <v>24.74</v>
      </c>
    </row>
    <row r="60" spans="1:2" x14ac:dyDescent="0.25">
      <c r="A60" s="25" t="s">
        <v>236</v>
      </c>
      <c r="B60" s="26">
        <v>32.54</v>
      </c>
    </row>
    <row r="61" spans="1:2" x14ac:dyDescent="0.25">
      <c r="A61" s="25" t="s">
        <v>237</v>
      </c>
      <c r="B61" s="26">
        <v>15.37</v>
      </c>
    </row>
    <row r="62" spans="1:2" x14ac:dyDescent="0.25">
      <c r="A62" s="25" t="s">
        <v>238</v>
      </c>
      <c r="B62" s="26">
        <v>13.11</v>
      </c>
    </row>
    <row r="63" spans="1:2" x14ac:dyDescent="0.25">
      <c r="A63" s="60" t="s">
        <v>239</v>
      </c>
      <c r="B63" s="26">
        <v>34.4</v>
      </c>
    </row>
    <row r="64" spans="1:2" x14ac:dyDescent="0.25">
      <c r="A64" s="25" t="s">
        <v>240</v>
      </c>
      <c r="B64" s="26">
        <v>26.09</v>
      </c>
    </row>
    <row r="65" spans="1:2" x14ac:dyDescent="0.25">
      <c r="A65" s="25" t="s">
        <v>241</v>
      </c>
      <c r="B65" s="26">
        <v>40.590000000000003</v>
      </c>
    </row>
    <row r="66" spans="1:2" x14ac:dyDescent="0.25">
      <c r="A66" s="60" t="s">
        <v>242</v>
      </c>
      <c r="B66" s="26">
        <v>17.3</v>
      </c>
    </row>
    <row r="69" spans="1:2" x14ac:dyDescent="0.25">
      <c r="A69" t="s">
        <v>197</v>
      </c>
      <c r="B69" s="28" t="s">
        <v>356</v>
      </c>
    </row>
    <row r="70" spans="1:2" x14ac:dyDescent="0.25">
      <c r="A70"/>
    </row>
    <row r="71" spans="1:2" x14ac:dyDescent="0.25">
      <c r="A71" t="s">
        <v>205</v>
      </c>
      <c r="B71" s="28" t="s">
        <v>357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A312F-D970-4F19-96AE-CEACCE0C8C64}">
  <sheetPr>
    <tabColor theme="5" tint="0.59999389629810485"/>
  </sheetPr>
  <dimension ref="A1:Y73"/>
  <sheetViews>
    <sheetView topLeftCell="A8" workbookViewId="0"/>
  </sheetViews>
  <sheetFormatPr defaultRowHeight="15" x14ac:dyDescent="0.25"/>
  <cols>
    <col min="1" max="1" width="29" style="25" customWidth="1"/>
    <col min="2" max="2" width="27" style="25" customWidth="1"/>
    <col min="3" max="3" width="13.140625" style="25" customWidth="1"/>
    <col min="4" max="4" width="21" style="85" customWidth="1"/>
    <col min="5" max="5" width="17.42578125" customWidth="1"/>
    <col min="8" max="9" width="17.85546875" style="54" customWidth="1"/>
    <col min="11" max="11" width="13.28515625" customWidth="1"/>
    <col min="12" max="12" width="13.7109375" customWidth="1"/>
    <col min="14" max="15" width="11.85546875" customWidth="1"/>
    <col min="17" max="17" width="10.28515625" customWidth="1"/>
    <col min="19" max="20" width="13.28515625" bestFit="1" customWidth="1"/>
    <col min="22" max="23" width="20.7109375" customWidth="1"/>
    <col min="25" max="25" width="21.140625" customWidth="1"/>
  </cols>
  <sheetData>
    <row r="1" spans="1:25" x14ac:dyDescent="0.25">
      <c r="A1" s="59" t="s">
        <v>47</v>
      </c>
    </row>
    <row r="2" spans="1:25" x14ac:dyDescent="0.25">
      <c r="A2" s="28" t="s">
        <v>48</v>
      </c>
    </row>
    <row r="3" spans="1:25" ht="45" x14ac:dyDescent="0.25">
      <c r="H3" s="54" t="s">
        <v>372</v>
      </c>
      <c r="I3" s="54" t="s">
        <v>372</v>
      </c>
      <c r="J3" s="54"/>
      <c r="K3" s="54" t="s">
        <v>373</v>
      </c>
      <c r="L3" s="54" t="s">
        <v>373</v>
      </c>
      <c r="M3" s="54"/>
      <c r="N3" s="54" t="s">
        <v>374</v>
      </c>
      <c r="O3" s="54" t="s">
        <v>374</v>
      </c>
      <c r="P3" s="54"/>
      <c r="Q3" s="54" t="s">
        <v>375</v>
      </c>
      <c r="R3" s="54"/>
      <c r="S3" s="54" t="s">
        <v>376</v>
      </c>
      <c r="T3" s="54" t="s">
        <v>377</v>
      </c>
      <c r="U3" s="54"/>
      <c r="V3" s="54" t="s">
        <v>378</v>
      </c>
      <c r="W3" s="54" t="s">
        <v>379</v>
      </c>
      <c r="X3" s="54"/>
      <c r="Y3" s="54" t="s">
        <v>380</v>
      </c>
    </row>
    <row r="4" spans="1:25" ht="32.25" customHeight="1" x14ac:dyDescent="0.25">
      <c r="A4" s="27" t="s">
        <v>165</v>
      </c>
      <c r="B4" s="43" t="s">
        <v>381</v>
      </c>
      <c r="C4" s="43"/>
      <c r="D4" s="171" t="s">
        <v>382</v>
      </c>
      <c r="E4" s="43" t="s">
        <v>383</v>
      </c>
      <c r="G4" s="240"/>
      <c r="H4" s="43">
        <v>2019</v>
      </c>
      <c r="I4" s="43">
        <v>2025</v>
      </c>
      <c r="J4" s="27"/>
      <c r="K4" s="27">
        <v>2019</v>
      </c>
      <c r="L4" s="27">
        <v>2025</v>
      </c>
      <c r="M4" s="27"/>
      <c r="N4" s="27">
        <v>2019</v>
      </c>
      <c r="O4" s="27">
        <v>2025</v>
      </c>
      <c r="P4" s="27"/>
      <c r="Q4" s="27" t="s">
        <v>384</v>
      </c>
      <c r="R4" s="27"/>
      <c r="S4" s="27">
        <v>2019</v>
      </c>
      <c r="T4" s="27">
        <v>2025</v>
      </c>
      <c r="U4" s="27"/>
      <c r="V4" s="27">
        <v>2019</v>
      </c>
      <c r="W4" s="27">
        <v>2025</v>
      </c>
      <c r="X4" s="27"/>
      <c r="Y4" s="27" t="s">
        <v>384</v>
      </c>
    </row>
    <row r="5" spans="1:25" x14ac:dyDescent="0.25">
      <c r="A5" s="60" t="s">
        <v>242</v>
      </c>
      <c r="B5" s="85">
        <f>E5*1000000/D5/12</f>
        <v>150.26907188187471</v>
      </c>
      <c r="D5" s="57">
        <v>145338734</v>
      </c>
      <c r="E5" s="57">
        <v>262079</v>
      </c>
      <c r="G5" s="240"/>
      <c r="H5" s="98">
        <v>187436</v>
      </c>
      <c r="I5" s="98">
        <f>E5</f>
        <v>262079</v>
      </c>
      <c r="J5" s="48"/>
      <c r="K5" s="48">
        <v>135249595</v>
      </c>
      <c r="L5" s="48">
        <f>D5</f>
        <v>145338734</v>
      </c>
      <c r="M5" s="48"/>
      <c r="N5" s="48">
        <f>H5*1000000/K5</f>
        <v>1385.8525787082763</v>
      </c>
      <c r="O5" s="48">
        <f>I5*1000000/L5</f>
        <v>1803.2288625824965</v>
      </c>
      <c r="P5" s="48"/>
      <c r="Q5" s="48">
        <f>O5-N5</f>
        <v>417.37628387422023</v>
      </c>
      <c r="R5" s="48"/>
      <c r="S5" s="48">
        <v>1440289</v>
      </c>
      <c r="T5" s="48">
        <v>1514993</v>
      </c>
      <c r="U5" s="48"/>
      <c r="V5" s="48">
        <f t="shared" ref="V5:V66" si="0">(H5/S5)*(S5/K5)*1000000</f>
        <v>1385.852578708276</v>
      </c>
      <c r="W5" s="48">
        <f>(I5/T5)*(S5/K5)*1000000</f>
        <v>1842.1935920962596</v>
      </c>
      <c r="X5" s="48"/>
      <c r="Y5" s="48">
        <f t="shared" ref="Y5:Y66" si="1">W5-V5</f>
        <v>456.34101338798359</v>
      </c>
    </row>
    <row r="6" spans="1:25" x14ac:dyDescent="0.25">
      <c r="A6" s="60" t="s">
        <v>167</v>
      </c>
      <c r="B6" s="85">
        <f>E6*1000000/D6/12</f>
        <v>174.21197434042733</v>
      </c>
      <c r="C6" s="26"/>
      <c r="D6" s="57">
        <v>6833629</v>
      </c>
      <c r="E6" s="57">
        <v>14286</v>
      </c>
      <c r="G6" s="240"/>
      <c r="H6" s="98">
        <v>9744</v>
      </c>
      <c r="I6" s="98">
        <f t="shared" ref="I6:I66" si="2">E6</f>
        <v>14286</v>
      </c>
      <c r="J6" s="48"/>
      <c r="K6" s="48">
        <v>6411588</v>
      </c>
      <c r="L6" s="48">
        <f t="shared" ref="L6:L66" si="3">D6</f>
        <v>6833629</v>
      </c>
      <c r="M6" s="48"/>
      <c r="N6" s="48">
        <f t="shared" ref="N6:O36" si="4">H6*1000000/K6</f>
        <v>1519.7483057239485</v>
      </c>
      <c r="O6" s="48">
        <f t="shared" si="4"/>
        <v>2090.543692085128</v>
      </c>
      <c r="P6" s="48"/>
      <c r="Q6" s="48">
        <f t="shared" ref="Q6:Q66" si="5">O6-N6</f>
        <v>570.79538636117945</v>
      </c>
      <c r="R6" s="48"/>
      <c r="S6" s="48">
        <v>46173</v>
      </c>
      <c r="T6" s="48">
        <v>49414</v>
      </c>
      <c r="U6" s="48"/>
      <c r="V6" s="48">
        <f t="shared" si="0"/>
        <v>1519.7483057239485</v>
      </c>
      <c r="W6" s="48">
        <f t="shared" ref="W6:W66" si="6">(I6/T6)*(S6/K6)*1000000</f>
        <v>2082.0114826627287</v>
      </c>
      <c r="X6" s="48"/>
      <c r="Y6" s="48">
        <f t="shared" si="1"/>
        <v>562.26317693878013</v>
      </c>
    </row>
    <row r="7" spans="1:25" x14ac:dyDescent="0.25">
      <c r="A7" s="25" t="s">
        <v>168</v>
      </c>
      <c r="B7" s="85">
        <f t="shared" ref="B7:B66" si="7">E7*1000000/D7/12</f>
        <v>204.07373614701297</v>
      </c>
      <c r="C7" s="26"/>
      <c r="D7" s="57">
        <v>1602362</v>
      </c>
      <c r="E7" s="57">
        <v>3924</v>
      </c>
      <c r="G7" s="240"/>
      <c r="H7" s="98">
        <v>2733</v>
      </c>
      <c r="I7" s="98">
        <f t="shared" si="2"/>
        <v>3924</v>
      </c>
      <c r="J7" s="48"/>
      <c r="K7" s="48">
        <v>1510966</v>
      </c>
      <c r="L7" s="48">
        <f t="shared" si="3"/>
        <v>1602362</v>
      </c>
      <c r="M7" s="48"/>
      <c r="N7" s="48">
        <f t="shared" si="4"/>
        <v>1808.776636932929</v>
      </c>
      <c r="O7" s="48">
        <f t="shared" si="4"/>
        <v>2448.8848337641557</v>
      </c>
      <c r="P7" s="48"/>
      <c r="Q7" s="48">
        <f t="shared" si="5"/>
        <v>640.10819683122668</v>
      </c>
      <c r="R7" s="48"/>
      <c r="S7" s="48">
        <v>12494</v>
      </c>
      <c r="T7" s="48">
        <v>13357</v>
      </c>
      <c r="U7" s="48"/>
      <c r="V7" s="48">
        <f t="shared" si="0"/>
        <v>1808.7766369329288</v>
      </c>
      <c r="W7" s="48">
        <f t="shared" si="6"/>
        <v>2429.2201924575152</v>
      </c>
      <c r="X7" s="48"/>
      <c r="Y7" s="48">
        <f t="shared" si="1"/>
        <v>620.44355552458637</v>
      </c>
    </row>
    <row r="8" spans="1:25" x14ac:dyDescent="0.25">
      <c r="A8" s="25" t="s">
        <v>169</v>
      </c>
      <c r="B8" s="85">
        <f t="shared" si="7"/>
        <v>146.51296926625687</v>
      </c>
      <c r="C8" s="26"/>
      <c r="D8" s="57">
        <v>755337</v>
      </c>
      <c r="E8" s="57">
        <v>1328</v>
      </c>
      <c r="G8" s="240"/>
      <c r="H8" s="98">
        <v>858</v>
      </c>
      <c r="I8" s="98">
        <f t="shared" si="2"/>
        <v>1328</v>
      </c>
      <c r="J8" s="48"/>
      <c r="K8" s="48">
        <v>710869</v>
      </c>
      <c r="L8" s="48">
        <f t="shared" si="3"/>
        <v>755337</v>
      </c>
      <c r="M8" s="48"/>
      <c r="N8" s="48">
        <f t="shared" si="4"/>
        <v>1206.9734367372891</v>
      </c>
      <c r="O8" s="48">
        <f t="shared" si="4"/>
        <v>1758.1556311950824</v>
      </c>
      <c r="P8" s="48"/>
      <c r="Q8" s="48">
        <f t="shared" si="5"/>
        <v>551.18219445779323</v>
      </c>
      <c r="R8" s="48"/>
      <c r="S8" s="48">
        <v>4794</v>
      </c>
      <c r="T8" s="48">
        <v>4781</v>
      </c>
      <c r="U8" s="48"/>
      <c r="V8" s="48">
        <f t="shared" si="0"/>
        <v>1206.9734367372891</v>
      </c>
      <c r="W8" s="48">
        <f t="shared" si="6"/>
        <v>1873.2156839729946</v>
      </c>
      <c r="X8" s="48"/>
      <c r="Y8" s="48">
        <f t="shared" si="1"/>
        <v>666.24224723570546</v>
      </c>
    </row>
    <row r="9" spans="1:25" x14ac:dyDescent="0.25">
      <c r="A9" s="25" t="s">
        <v>170</v>
      </c>
      <c r="B9" s="85">
        <f t="shared" si="7"/>
        <v>174.91857845359439</v>
      </c>
      <c r="C9" s="26"/>
      <c r="D9" s="57">
        <v>3030934</v>
      </c>
      <c r="E9" s="57">
        <v>6362</v>
      </c>
      <c r="G9" s="240"/>
      <c r="H9" s="98">
        <v>4233</v>
      </c>
      <c r="I9" s="98">
        <f t="shared" si="2"/>
        <v>6362</v>
      </c>
      <c r="J9" s="48"/>
      <c r="K9" s="48">
        <v>2802098</v>
      </c>
      <c r="L9" s="48">
        <f t="shared" si="3"/>
        <v>3030934</v>
      </c>
      <c r="M9" s="48"/>
      <c r="N9" s="48">
        <f t="shared" si="4"/>
        <v>1510.6538029719161</v>
      </c>
      <c r="O9" s="48">
        <f t="shared" si="4"/>
        <v>2099.0229414431328</v>
      </c>
      <c r="P9" s="48"/>
      <c r="Q9" s="48">
        <f t="shared" si="5"/>
        <v>588.36913847121673</v>
      </c>
      <c r="R9" s="48"/>
      <c r="S9" s="48">
        <v>19315</v>
      </c>
      <c r="T9" s="48">
        <v>20872</v>
      </c>
      <c r="U9" s="48"/>
      <c r="V9" s="48">
        <f t="shared" si="0"/>
        <v>1510.6538029719163</v>
      </c>
      <c r="W9" s="48">
        <f t="shared" si="6"/>
        <v>2101.0722702367771</v>
      </c>
      <c r="X9" s="48"/>
      <c r="Y9" s="48">
        <f t="shared" si="1"/>
        <v>590.41846726486074</v>
      </c>
    </row>
    <row r="10" spans="1:25" x14ac:dyDescent="0.25">
      <c r="A10" s="25" t="s">
        <v>171</v>
      </c>
      <c r="B10" s="85">
        <f t="shared" si="7"/>
        <v>155.75666057719721</v>
      </c>
      <c r="C10" s="26"/>
      <c r="D10" s="57">
        <v>662893</v>
      </c>
      <c r="E10" s="57">
        <v>1239</v>
      </c>
      <c r="G10" s="240"/>
      <c r="H10" s="98">
        <v>904</v>
      </c>
      <c r="I10" s="98">
        <f t="shared" si="2"/>
        <v>1239</v>
      </c>
      <c r="J10" s="48"/>
      <c r="K10" s="48">
        <v>627258</v>
      </c>
      <c r="L10" s="48">
        <f t="shared" si="3"/>
        <v>662893</v>
      </c>
      <c r="M10" s="48"/>
      <c r="N10" s="48">
        <f t="shared" si="4"/>
        <v>1441.1932570011063</v>
      </c>
      <c r="O10" s="48">
        <f t="shared" si="4"/>
        <v>1869.0799269263666</v>
      </c>
      <c r="P10" s="48"/>
      <c r="Q10" s="48">
        <f t="shared" si="5"/>
        <v>427.88666992526032</v>
      </c>
      <c r="R10" s="48"/>
      <c r="S10" s="48">
        <v>4507</v>
      </c>
      <c r="T10" s="48">
        <v>5046</v>
      </c>
      <c r="U10" s="48"/>
      <c r="V10" s="48">
        <f t="shared" si="0"/>
        <v>1441.1932570011065</v>
      </c>
      <c r="W10" s="48">
        <f t="shared" si="6"/>
        <v>1764.2714621779714</v>
      </c>
      <c r="X10" s="48"/>
      <c r="Y10" s="48">
        <f t="shared" si="1"/>
        <v>323.07820517686491</v>
      </c>
    </row>
    <row r="11" spans="1:25" x14ac:dyDescent="0.25">
      <c r="A11" s="25" t="s">
        <v>172</v>
      </c>
      <c r="B11" s="85">
        <f t="shared" si="7"/>
        <v>164.59381883338469</v>
      </c>
      <c r="C11" s="26"/>
      <c r="D11" s="57">
        <v>467312</v>
      </c>
      <c r="E11" s="57">
        <v>923</v>
      </c>
      <c r="G11" s="240"/>
      <c r="H11" s="98">
        <v>648</v>
      </c>
      <c r="I11" s="98">
        <f t="shared" si="2"/>
        <v>923</v>
      </c>
      <c r="J11" s="48"/>
      <c r="K11" s="48">
        <v>444216</v>
      </c>
      <c r="L11" s="48">
        <f t="shared" si="3"/>
        <v>467312</v>
      </c>
      <c r="M11" s="48"/>
      <c r="N11" s="48">
        <f t="shared" si="4"/>
        <v>1458.7497973958614</v>
      </c>
      <c r="O11" s="48">
        <f t="shared" si="4"/>
        <v>1975.1258260006164</v>
      </c>
      <c r="P11" s="48"/>
      <c r="Q11" s="48">
        <f t="shared" si="5"/>
        <v>516.37602860475499</v>
      </c>
      <c r="R11" s="48"/>
      <c r="S11" s="48">
        <v>2983</v>
      </c>
      <c r="T11" s="48">
        <v>3134</v>
      </c>
      <c r="U11" s="48"/>
      <c r="V11" s="48">
        <f t="shared" si="0"/>
        <v>1458.7497973958614</v>
      </c>
      <c r="W11" s="48">
        <f t="shared" si="6"/>
        <v>1977.7061548755396</v>
      </c>
      <c r="X11" s="48"/>
      <c r="Y11" s="48">
        <f t="shared" si="1"/>
        <v>518.95635747967822</v>
      </c>
    </row>
    <row r="12" spans="1:25" x14ac:dyDescent="0.25">
      <c r="A12" s="25" t="s">
        <v>173</v>
      </c>
      <c r="B12" s="85">
        <f t="shared" si="7"/>
        <v>135.01021312553408</v>
      </c>
      <c r="C12" s="26"/>
      <c r="D12" s="57">
        <v>314791</v>
      </c>
      <c r="E12" s="57">
        <v>510</v>
      </c>
      <c r="G12" s="240"/>
      <c r="H12" s="98">
        <v>369</v>
      </c>
      <c r="I12" s="98">
        <f t="shared" si="2"/>
        <v>510</v>
      </c>
      <c r="J12" s="48"/>
      <c r="K12" s="48">
        <v>316182</v>
      </c>
      <c r="L12" s="48">
        <f t="shared" si="3"/>
        <v>314791</v>
      </c>
      <c r="M12" s="48"/>
      <c r="N12" s="48">
        <f t="shared" si="4"/>
        <v>1167.049357648443</v>
      </c>
      <c r="O12" s="48">
        <f t="shared" si="4"/>
        <v>1620.1225575064091</v>
      </c>
      <c r="P12" s="48"/>
      <c r="Q12" s="48">
        <f t="shared" si="5"/>
        <v>453.07319985796607</v>
      </c>
      <c r="R12" s="48"/>
      <c r="S12" s="48">
        <v>2082</v>
      </c>
      <c r="T12" s="48">
        <v>2225</v>
      </c>
      <c r="U12" s="48"/>
      <c r="V12" s="48">
        <f t="shared" si="0"/>
        <v>1167.049357648443</v>
      </c>
      <c r="W12" s="48">
        <f t="shared" si="6"/>
        <v>1509.3283991818394</v>
      </c>
      <c r="X12" s="48"/>
      <c r="Y12" s="48">
        <f t="shared" si="1"/>
        <v>342.27904153339637</v>
      </c>
    </row>
    <row r="13" spans="1:25" x14ac:dyDescent="0.25">
      <c r="A13" s="60" t="s">
        <v>174</v>
      </c>
      <c r="B13" s="85">
        <f t="shared" si="7"/>
        <v>155.81863224442699</v>
      </c>
      <c r="C13" s="26"/>
      <c r="D13" s="57">
        <v>16821373</v>
      </c>
      <c r="E13" s="57">
        <v>31453</v>
      </c>
      <c r="G13" s="240"/>
      <c r="H13" s="98">
        <v>21039</v>
      </c>
      <c r="I13" s="98">
        <f t="shared" si="2"/>
        <v>31453</v>
      </c>
      <c r="J13" s="48"/>
      <c r="K13" s="48">
        <v>16251105</v>
      </c>
      <c r="L13" s="48">
        <f t="shared" si="3"/>
        <v>16821373</v>
      </c>
      <c r="M13" s="48"/>
      <c r="N13" s="48">
        <f t="shared" si="4"/>
        <v>1294.6196581709366</v>
      </c>
      <c r="O13" s="48">
        <f t="shared" si="4"/>
        <v>1869.8235869331238</v>
      </c>
      <c r="P13" s="48"/>
      <c r="Q13" s="48">
        <f t="shared" si="5"/>
        <v>575.20392876218716</v>
      </c>
      <c r="R13" s="48"/>
      <c r="S13" s="48">
        <v>133150</v>
      </c>
      <c r="T13" s="48">
        <v>138546</v>
      </c>
      <c r="U13" s="48"/>
      <c r="V13" s="48">
        <f t="shared" si="0"/>
        <v>1294.6196581709366</v>
      </c>
      <c r="W13" s="48">
        <f t="shared" si="6"/>
        <v>1860.0574483392872</v>
      </c>
      <c r="X13" s="48"/>
      <c r="Y13" s="48">
        <f t="shared" si="1"/>
        <v>565.4377901683506</v>
      </c>
    </row>
    <row r="14" spans="1:25" x14ac:dyDescent="0.25">
      <c r="A14" s="25" t="s">
        <v>175</v>
      </c>
      <c r="B14" s="85">
        <f t="shared" si="7"/>
        <v>148.46082799922311</v>
      </c>
      <c r="C14" s="26"/>
      <c r="D14" s="57">
        <v>3816944</v>
      </c>
      <c r="E14" s="57">
        <v>6800</v>
      </c>
      <c r="G14" s="240"/>
      <c r="H14" s="98">
        <v>4535</v>
      </c>
      <c r="I14" s="98">
        <f t="shared" si="2"/>
        <v>6800</v>
      </c>
      <c r="J14" s="48"/>
      <c r="K14" s="48">
        <v>3596835</v>
      </c>
      <c r="L14" s="48">
        <f t="shared" si="3"/>
        <v>3816944</v>
      </c>
      <c r="M14" s="48"/>
      <c r="N14" s="48">
        <f t="shared" si="4"/>
        <v>1260.8307025482125</v>
      </c>
      <c r="O14" s="48">
        <f t="shared" si="4"/>
        <v>1781.5299359906774</v>
      </c>
      <c r="P14" s="48"/>
      <c r="Q14" s="48">
        <f t="shared" si="5"/>
        <v>520.6992334424649</v>
      </c>
      <c r="R14" s="48"/>
      <c r="S14" s="48">
        <v>28613</v>
      </c>
      <c r="T14" s="48">
        <v>30056</v>
      </c>
      <c r="U14" s="48"/>
      <c r="V14" s="48">
        <f t="shared" si="0"/>
        <v>1260.8307025482125</v>
      </c>
      <c r="W14" s="48">
        <f t="shared" si="6"/>
        <v>1799.7849252925714</v>
      </c>
      <c r="X14" s="48"/>
      <c r="Y14" s="48">
        <f t="shared" si="1"/>
        <v>538.95422274435896</v>
      </c>
    </row>
    <row r="15" spans="1:25" x14ac:dyDescent="0.25">
      <c r="A15" s="25" t="s">
        <v>176</v>
      </c>
      <c r="B15" s="85">
        <f t="shared" si="7"/>
        <v>154.08622955508238</v>
      </c>
      <c r="C15" s="26"/>
      <c r="D15" s="57">
        <v>7480119</v>
      </c>
      <c r="E15" s="57">
        <v>13831</v>
      </c>
      <c r="G15" s="240"/>
      <c r="H15" s="98">
        <v>8995</v>
      </c>
      <c r="I15" s="98">
        <f t="shared" si="2"/>
        <v>13831</v>
      </c>
      <c r="J15" s="48"/>
      <c r="K15" s="48">
        <v>7235400</v>
      </c>
      <c r="L15" s="48">
        <f t="shared" si="3"/>
        <v>7480119</v>
      </c>
      <c r="M15" s="48"/>
      <c r="N15" s="48">
        <f t="shared" si="4"/>
        <v>1243.193189042762</v>
      </c>
      <c r="O15" s="48">
        <f t="shared" si="4"/>
        <v>1849.0347546609887</v>
      </c>
      <c r="P15" s="48"/>
      <c r="Q15" s="48">
        <f t="shared" si="5"/>
        <v>605.8415656182267</v>
      </c>
      <c r="R15" s="48"/>
      <c r="S15" s="48">
        <v>50141</v>
      </c>
      <c r="T15" s="48">
        <v>52406</v>
      </c>
      <c r="U15" s="48"/>
      <c r="V15" s="48">
        <f t="shared" si="0"/>
        <v>1243.1931890427618</v>
      </c>
      <c r="W15" s="48">
        <f t="shared" si="6"/>
        <v>1828.9549760196185</v>
      </c>
      <c r="X15" s="48"/>
      <c r="Y15" s="48">
        <f t="shared" si="1"/>
        <v>585.76178697685668</v>
      </c>
    </row>
    <row r="16" spans="1:25" x14ac:dyDescent="0.25">
      <c r="A16" s="25" t="s">
        <v>177</v>
      </c>
      <c r="B16" s="85">
        <f t="shared" si="7"/>
        <v>163.24814019005692</v>
      </c>
      <c r="C16" s="26"/>
      <c r="D16" s="57">
        <v>5524310</v>
      </c>
      <c r="E16" s="57">
        <v>10822</v>
      </c>
      <c r="G16" s="240"/>
      <c r="H16" s="98">
        <v>7509</v>
      </c>
      <c r="I16" s="98">
        <f t="shared" si="2"/>
        <v>10822</v>
      </c>
      <c r="J16" s="48"/>
      <c r="K16" s="48">
        <v>5418870</v>
      </c>
      <c r="L16" s="48">
        <f t="shared" si="3"/>
        <v>5524310</v>
      </c>
      <c r="M16" s="48"/>
      <c r="N16" s="48">
        <f t="shared" si="4"/>
        <v>1385.7132575610783</v>
      </c>
      <c r="O16" s="48">
        <f t="shared" si="4"/>
        <v>1958.977682280683</v>
      </c>
      <c r="P16" s="48"/>
      <c r="Q16" s="48">
        <f t="shared" si="5"/>
        <v>573.26442471960468</v>
      </c>
      <c r="R16" s="48"/>
      <c r="S16" s="48">
        <v>54396</v>
      </c>
      <c r="T16" s="48">
        <v>56084</v>
      </c>
      <c r="U16" s="48"/>
      <c r="V16" s="48">
        <f t="shared" si="0"/>
        <v>1385.7132575610781</v>
      </c>
      <c r="W16" s="48">
        <f t="shared" si="6"/>
        <v>1936.9873379755923</v>
      </c>
      <c r="X16" s="48"/>
      <c r="Y16" s="48">
        <f t="shared" si="1"/>
        <v>551.27408041451417</v>
      </c>
    </row>
    <row r="17" spans="1:25" x14ac:dyDescent="0.25">
      <c r="A17" s="60" t="s">
        <v>178</v>
      </c>
      <c r="B17" s="85">
        <f t="shared" si="7"/>
        <v>135.17278747134836</v>
      </c>
      <c r="C17" s="26"/>
      <c r="D17" s="57">
        <v>21010146</v>
      </c>
      <c r="E17" s="57">
        <v>34080</v>
      </c>
      <c r="G17" s="240"/>
      <c r="H17" s="98">
        <v>24929</v>
      </c>
      <c r="I17" s="98">
        <f t="shared" si="2"/>
        <v>34080</v>
      </c>
      <c r="J17" s="48"/>
      <c r="K17" s="48">
        <v>20287078</v>
      </c>
      <c r="L17" s="48">
        <f t="shared" si="3"/>
        <v>21010146</v>
      </c>
      <c r="M17" s="48"/>
      <c r="N17" s="48">
        <f t="shared" si="4"/>
        <v>1228.8117588940113</v>
      </c>
      <c r="O17" s="48">
        <f t="shared" si="4"/>
        <v>1622.0734496561804</v>
      </c>
      <c r="P17" s="48"/>
      <c r="Q17" s="48">
        <f t="shared" si="5"/>
        <v>393.26169076216911</v>
      </c>
      <c r="R17" s="48"/>
      <c r="S17" s="48">
        <v>186187</v>
      </c>
      <c r="T17" s="48">
        <v>192583</v>
      </c>
      <c r="U17" s="48"/>
      <c r="V17" s="48">
        <f t="shared" si="0"/>
        <v>1228.8117588940115</v>
      </c>
      <c r="W17" s="48">
        <f t="shared" si="6"/>
        <v>1624.0952405765545</v>
      </c>
      <c r="X17" s="48"/>
      <c r="Y17" s="48">
        <f t="shared" si="1"/>
        <v>395.28348168254297</v>
      </c>
    </row>
    <row r="18" spans="1:25" x14ac:dyDescent="0.25">
      <c r="A18" s="25" t="s">
        <v>179</v>
      </c>
      <c r="B18" s="85">
        <f t="shared" si="7"/>
        <v>126.83060167773145</v>
      </c>
      <c r="C18" s="26"/>
      <c r="D18" s="57">
        <v>5419302</v>
      </c>
      <c r="E18" s="57">
        <v>8248</v>
      </c>
      <c r="G18" s="240"/>
      <c r="H18" s="98">
        <v>5891</v>
      </c>
      <c r="I18" s="98">
        <f t="shared" si="2"/>
        <v>8248</v>
      </c>
      <c r="J18" s="48"/>
      <c r="K18" s="48">
        <v>5314523</v>
      </c>
      <c r="L18" s="48">
        <f t="shared" si="3"/>
        <v>5419302</v>
      </c>
      <c r="M18" s="48"/>
      <c r="N18" s="48">
        <f t="shared" si="4"/>
        <v>1108.4720115050777</v>
      </c>
      <c r="O18" s="48">
        <f t="shared" si="4"/>
        <v>1521.9672201327774</v>
      </c>
      <c r="P18" s="48"/>
      <c r="Q18" s="48">
        <f t="shared" si="5"/>
        <v>413.49520862769964</v>
      </c>
      <c r="R18" s="48"/>
      <c r="S18" s="48">
        <v>45220</v>
      </c>
      <c r="T18" s="48">
        <v>46618</v>
      </c>
      <c r="U18" s="48"/>
      <c r="V18" s="48">
        <f t="shared" si="0"/>
        <v>1108.4720115050777</v>
      </c>
      <c r="W18" s="48">
        <f t="shared" si="6"/>
        <v>1505.4324801639282</v>
      </c>
      <c r="X18" s="48"/>
      <c r="Y18" s="48">
        <f t="shared" si="1"/>
        <v>396.96046865885046</v>
      </c>
    </row>
    <row r="19" spans="1:25" x14ac:dyDescent="0.25">
      <c r="A19" s="25" t="s">
        <v>180</v>
      </c>
      <c r="B19" s="85">
        <f t="shared" si="7"/>
        <v>154.22315272119164</v>
      </c>
      <c r="C19" s="26"/>
      <c r="D19" s="57">
        <v>3025378</v>
      </c>
      <c r="E19" s="57">
        <v>5599</v>
      </c>
      <c r="G19" s="240"/>
      <c r="H19" s="98">
        <v>4183</v>
      </c>
      <c r="I19" s="98">
        <f t="shared" si="2"/>
        <v>5599</v>
      </c>
      <c r="J19" s="48"/>
      <c r="K19" s="48">
        <v>2887031</v>
      </c>
      <c r="L19" s="48">
        <f t="shared" si="3"/>
        <v>3025378</v>
      </c>
      <c r="M19" s="48"/>
      <c r="N19" s="48">
        <f t="shared" si="4"/>
        <v>1448.8933440617714</v>
      </c>
      <c r="O19" s="48">
        <f t="shared" si="4"/>
        <v>1850.6778326542997</v>
      </c>
      <c r="P19" s="48"/>
      <c r="Q19" s="48">
        <f t="shared" si="5"/>
        <v>401.78448859252831</v>
      </c>
      <c r="R19" s="48"/>
      <c r="S19" s="48">
        <v>33249</v>
      </c>
      <c r="T19" s="48">
        <v>34492</v>
      </c>
      <c r="U19" s="48"/>
      <c r="V19" s="48">
        <f t="shared" si="0"/>
        <v>1448.8933440617714</v>
      </c>
      <c r="W19" s="48">
        <f t="shared" si="6"/>
        <v>1869.473144619803</v>
      </c>
      <c r="X19" s="48"/>
      <c r="Y19" s="48">
        <f t="shared" si="1"/>
        <v>420.57980055803159</v>
      </c>
    </row>
    <row r="20" spans="1:25" x14ac:dyDescent="0.25">
      <c r="A20" s="25" t="s">
        <v>181</v>
      </c>
      <c r="B20" s="85">
        <f t="shared" si="7"/>
        <v>126.53192572147721</v>
      </c>
      <c r="C20" s="26"/>
      <c r="D20" s="57">
        <v>4553528</v>
      </c>
      <c r="E20" s="57">
        <v>6914</v>
      </c>
      <c r="G20" s="240"/>
      <c r="H20" s="98">
        <v>5273</v>
      </c>
      <c r="I20" s="98">
        <f t="shared" si="2"/>
        <v>6914</v>
      </c>
      <c r="J20" s="48"/>
      <c r="K20" s="48">
        <v>4384303</v>
      </c>
      <c r="L20" s="48">
        <f t="shared" si="3"/>
        <v>4553528</v>
      </c>
      <c r="M20" s="48"/>
      <c r="N20" s="48">
        <f t="shared" si="4"/>
        <v>1202.6997221679251</v>
      </c>
      <c r="O20" s="48">
        <f t="shared" si="4"/>
        <v>1518.3831086577266</v>
      </c>
      <c r="P20" s="48"/>
      <c r="Q20" s="48">
        <f t="shared" si="5"/>
        <v>315.68338648980148</v>
      </c>
      <c r="R20" s="48"/>
      <c r="S20" s="48">
        <v>33496</v>
      </c>
      <c r="T20" s="48">
        <v>34549</v>
      </c>
      <c r="U20" s="48"/>
      <c r="V20" s="48">
        <f t="shared" si="0"/>
        <v>1202.6997221679248</v>
      </c>
      <c r="W20" s="48">
        <f t="shared" si="6"/>
        <v>1528.9253481126277</v>
      </c>
      <c r="X20" s="48"/>
      <c r="Y20" s="48">
        <f t="shared" si="1"/>
        <v>326.22562594470287</v>
      </c>
    </row>
    <row r="21" spans="1:25" x14ac:dyDescent="0.25">
      <c r="A21" s="25" t="s">
        <v>182</v>
      </c>
      <c r="B21" s="85">
        <f t="shared" si="7"/>
        <v>149.07415765285768</v>
      </c>
      <c r="D21" s="57">
        <v>5118258</v>
      </c>
      <c r="E21" s="57">
        <v>9156</v>
      </c>
      <c r="F21" s="47"/>
      <c r="G21" s="240"/>
      <c r="H21" s="98">
        <v>6464</v>
      </c>
      <c r="I21" s="98">
        <f t="shared" si="2"/>
        <v>9156</v>
      </c>
      <c r="J21" s="48"/>
      <c r="K21" s="48">
        <v>4980934</v>
      </c>
      <c r="L21" s="48">
        <f t="shared" si="3"/>
        <v>5118258</v>
      </c>
      <c r="M21" s="48"/>
      <c r="N21" s="48">
        <f t="shared" si="4"/>
        <v>1297.7485748656777</v>
      </c>
      <c r="O21" s="48">
        <f t="shared" si="4"/>
        <v>1788.889891834292</v>
      </c>
      <c r="P21" s="48"/>
      <c r="Q21" s="48">
        <f t="shared" si="5"/>
        <v>491.14131696861432</v>
      </c>
      <c r="R21" s="48"/>
      <c r="S21" s="48">
        <v>52226</v>
      </c>
      <c r="T21" s="48">
        <v>53997</v>
      </c>
      <c r="U21" s="48"/>
      <c r="V21" s="48">
        <f t="shared" si="0"/>
        <v>1297.7485748656779</v>
      </c>
      <c r="W21" s="48">
        <f t="shared" si="6"/>
        <v>1777.9196487649797</v>
      </c>
      <c r="X21" s="48"/>
      <c r="Y21" s="48">
        <f t="shared" si="1"/>
        <v>480.17107389930175</v>
      </c>
    </row>
    <row r="22" spans="1:25" x14ac:dyDescent="0.25">
      <c r="A22" s="25" t="s">
        <v>185</v>
      </c>
      <c r="B22" s="85">
        <f t="shared" si="7"/>
        <v>119.887709306719</v>
      </c>
      <c r="D22" s="57">
        <v>2893680</v>
      </c>
      <c r="E22" s="57">
        <v>4163</v>
      </c>
      <c r="G22" s="240"/>
      <c r="H22" s="98">
        <v>3118</v>
      </c>
      <c r="I22" s="98">
        <f t="shared" si="2"/>
        <v>4163</v>
      </c>
      <c r="J22" s="48"/>
      <c r="K22" s="48">
        <v>2720288</v>
      </c>
      <c r="L22" s="48">
        <f t="shared" si="3"/>
        <v>2893680</v>
      </c>
      <c r="M22" s="48"/>
      <c r="N22" s="48">
        <f t="shared" si="4"/>
        <v>1146.2021668293946</v>
      </c>
      <c r="O22" s="48">
        <f t="shared" si="4"/>
        <v>1438.6525116806281</v>
      </c>
      <c r="P22" s="48"/>
      <c r="Q22" s="48">
        <f t="shared" si="5"/>
        <v>292.45034485123347</v>
      </c>
      <c r="R22" s="48"/>
      <c r="S22" s="48">
        <v>21995</v>
      </c>
      <c r="T22" s="48">
        <v>22928</v>
      </c>
      <c r="U22" s="48"/>
      <c r="V22" s="48">
        <f t="shared" si="0"/>
        <v>1146.2021668293944</v>
      </c>
      <c r="W22" s="48">
        <f t="shared" si="6"/>
        <v>1468.0786350557751</v>
      </c>
      <c r="X22" s="48"/>
      <c r="Y22" s="48">
        <f t="shared" si="1"/>
        <v>321.87646822638067</v>
      </c>
    </row>
    <row r="23" spans="1:25" x14ac:dyDescent="0.25">
      <c r="A23" s="60" t="s">
        <v>188</v>
      </c>
      <c r="B23" s="85">
        <f t="shared" si="7"/>
        <v>126.82045696610142</v>
      </c>
      <c r="D23" s="57">
        <v>10134406</v>
      </c>
      <c r="E23" s="57">
        <v>15423</v>
      </c>
      <c r="G23" s="240"/>
      <c r="H23" s="98">
        <v>12643</v>
      </c>
      <c r="I23" s="98">
        <f t="shared" si="2"/>
        <v>15423</v>
      </c>
      <c r="J23" s="48"/>
      <c r="K23" s="48">
        <v>9570273</v>
      </c>
      <c r="L23" s="48">
        <f t="shared" si="3"/>
        <v>10134406</v>
      </c>
      <c r="M23" s="48"/>
      <c r="N23" s="48">
        <f t="shared" si="4"/>
        <v>1321.0699423099006</v>
      </c>
      <c r="O23" s="48">
        <f t="shared" si="4"/>
        <v>1521.8454835932171</v>
      </c>
      <c r="P23" s="48"/>
      <c r="Q23" s="48">
        <f t="shared" si="5"/>
        <v>200.77554128331644</v>
      </c>
      <c r="R23" s="48"/>
      <c r="S23" s="48">
        <v>106595</v>
      </c>
      <c r="T23" s="48">
        <v>110519</v>
      </c>
      <c r="U23" s="48"/>
      <c r="V23" s="48">
        <f t="shared" si="0"/>
        <v>1321.0699423099006</v>
      </c>
      <c r="W23" s="48">
        <f t="shared" si="6"/>
        <v>1554.3342586561539</v>
      </c>
      <c r="X23" s="48"/>
      <c r="Y23" s="48">
        <f t="shared" si="1"/>
        <v>233.26431634625328</v>
      </c>
    </row>
    <row r="24" spans="1:25" x14ac:dyDescent="0.25">
      <c r="A24" s="25" t="s">
        <v>191</v>
      </c>
      <c r="B24" s="85">
        <f t="shared" si="7"/>
        <v>116.72658181386362</v>
      </c>
      <c r="D24" s="57">
        <v>1482096</v>
      </c>
      <c r="E24" s="57">
        <v>2076</v>
      </c>
      <c r="G24" s="240"/>
      <c r="H24" s="98">
        <v>1806</v>
      </c>
      <c r="I24" s="98">
        <f t="shared" si="2"/>
        <v>2076</v>
      </c>
      <c r="J24" s="48"/>
      <c r="K24" s="48">
        <v>1392978</v>
      </c>
      <c r="L24" s="48">
        <f t="shared" si="3"/>
        <v>1482096</v>
      </c>
      <c r="M24" s="48"/>
      <c r="N24" s="48">
        <f t="shared" si="4"/>
        <v>1296.5028880570978</v>
      </c>
      <c r="O24" s="48">
        <f t="shared" si="4"/>
        <v>1400.7189817663634</v>
      </c>
      <c r="P24" s="48"/>
      <c r="Q24" s="48">
        <f t="shared" si="5"/>
        <v>104.21609370926558</v>
      </c>
      <c r="R24" s="48"/>
      <c r="S24" s="48">
        <v>14495</v>
      </c>
      <c r="T24" s="48">
        <v>15133</v>
      </c>
      <c r="U24" s="48"/>
      <c r="V24" s="48">
        <f t="shared" si="0"/>
        <v>1296.5028880570978</v>
      </c>
      <c r="W24" s="48">
        <f t="shared" si="6"/>
        <v>1427.5005338899016</v>
      </c>
      <c r="X24" s="48"/>
      <c r="Y24" s="48">
        <f t="shared" si="1"/>
        <v>130.99764583280376</v>
      </c>
    </row>
    <row r="25" spans="1:25" x14ac:dyDescent="0.25">
      <c r="A25" s="25" t="s">
        <v>193</v>
      </c>
      <c r="B25" s="85">
        <f t="shared" si="7"/>
        <v>127.6064875212338</v>
      </c>
      <c r="D25" s="57">
        <v>1349853</v>
      </c>
      <c r="E25" s="57">
        <v>2067</v>
      </c>
      <c r="G25" s="240"/>
      <c r="H25" s="98">
        <v>1733</v>
      </c>
      <c r="I25" s="98">
        <f t="shared" si="2"/>
        <v>2067</v>
      </c>
      <c r="J25" s="48"/>
      <c r="K25" s="48">
        <v>1274955</v>
      </c>
      <c r="L25" s="48">
        <f t="shared" si="3"/>
        <v>1349853</v>
      </c>
      <c r="M25" s="48"/>
      <c r="N25" s="48">
        <f t="shared" si="4"/>
        <v>1359.2636602860493</v>
      </c>
      <c r="O25" s="48">
        <f t="shared" si="4"/>
        <v>1531.2778502548056</v>
      </c>
      <c r="P25" s="48"/>
      <c r="Q25" s="48">
        <f t="shared" si="5"/>
        <v>172.01418996875623</v>
      </c>
      <c r="R25" s="48"/>
      <c r="S25" s="48">
        <v>13631</v>
      </c>
      <c r="T25" s="48">
        <v>14198</v>
      </c>
      <c r="U25" s="48"/>
      <c r="V25" s="48">
        <f t="shared" si="0"/>
        <v>1359.2636602860493</v>
      </c>
      <c r="W25" s="48">
        <f t="shared" si="6"/>
        <v>1556.4893954486631</v>
      </c>
      <c r="X25" s="48"/>
      <c r="Y25" s="48">
        <f t="shared" si="1"/>
        <v>197.22573516261377</v>
      </c>
    </row>
    <row r="26" spans="1:25" x14ac:dyDescent="0.25">
      <c r="A26" s="25" t="s">
        <v>195</v>
      </c>
      <c r="B26" s="85">
        <f t="shared" si="7"/>
        <v>116.8553203793398</v>
      </c>
      <c r="D26" s="57">
        <v>2630746</v>
      </c>
      <c r="E26" s="57">
        <v>3689</v>
      </c>
      <c r="G26" s="240"/>
      <c r="H26" s="98">
        <v>2907</v>
      </c>
      <c r="I26" s="98">
        <f t="shared" si="2"/>
        <v>3689</v>
      </c>
      <c r="J26" s="48"/>
      <c r="K26" s="48">
        <v>2446108</v>
      </c>
      <c r="L26" s="48">
        <f t="shared" si="3"/>
        <v>2630746</v>
      </c>
      <c r="M26" s="48"/>
      <c r="N26" s="48">
        <f t="shared" si="4"/>
        <v>1188.4184999190552</v>
      </c>
      <c r="O26" s="48">
        <f t="shared" si="4"/>
        <v>1402.2638445520777</v>
      </c>
      <c r="P26" s="48"/>
      <c r="Q26" s="48">
        <f t="shared" si="5"/>
        <v>213.84534463302248</v>
      </c>
      <c r="R26" s="48"/>
      <c r="S26" s="48">
        <v>22288</v>
      </c>
      <c r="T26" s="48">
        <v>23312</v>
      </c>
      <c r="U26" s="48"/>
      <c r="V26" s="48">
        <f t="shared" si="0"/>
        <v>1188.418499919055</v>
      </c>
      <c r="W26" s="48">
        <f t="shared" si="6"/>
        <v>1441.8649735860031</v>
      </c>
      <c r="X26" s="48"/>
      <c r="Y26" s="48">
        <f t="shared" si="1"/>
        <v>253.44647366694812</v>
      </c>
    </row>
    <row r="27" spans="1:25" x14ac:dyDescent="0.25">
      <c r="A27" s="25" t="s">
        <v>196</v>
      </c>
      <c r="B27" s="85">
        <f t="shared" si="7"/>
        <v>142.18740645565364</v>
      </c>
      <c r="D27" s="57">
        <v>2895240</v>
      </c>
      <c r="E27" s="57">
        <v>4940</v>
      </c>
      <c r="G27" s="240"/>
      <c r="H27" s="98">
        <v>3976</v>
      </c>
      <c r="I27" s="98">
        <f t="shared" si="2"/>
        <v>4940</v>
      </c>
      <c r="J27" s="48"/>
      <c r="K27" s="48">
        <v>2811863</v>
      </c>
      <c r="L27" s="48">
        <f t="shared" si="3"/>
        <v>2895240</v>
      </c>
      <c r="M27" s="48"/>
      <c r="N27" s="48">
        <f t="shared" si="4"/>
        <v>1414.0091462493017</v>
      </c>
      <c r="O27" s="48">
        <f t="shared" si="4"/>
        <v>1706.2488774678438</v>
      </c>
      <c r="P27" s="48"/>
      <c r="Q27" s="48">
        <f t="shared" si="5"/>
        <v>292.23973121854215</v>
      </c>
      <c r="R27" s="48"/>
      <c r="S27" s="48">
        <v>35691</v>
      </c>
      <c r="T27" s="48">
        <v>36633</v>
      </c>
      <c r="U27" s="48"/>
      <c r="V27" s="48">
        <f t="shared" si="0"/>
        <v>1414.0091462493017</v>
      </c>
      <c r="W27" s="48">
        <f t="shared" si="6"/>
        <v>1711.6659925127713</v>
      </c>
      <c r="X27" s="48"/>
      <c r="Y27" s="48">
        <f t="shared" si="1"/>
        <v>297.65684626346956</v>
      </c>
    </row>
    <row r="28" spans="1:25" x14ac:dyDescent="0.25">
      <c r="A28" s="25" t="s">
        <v>199</v>
      </c>
      <c r="B28" s="85">
        <f t="shared" si="7"/>
        <v>118.98211607270723</v>
      </c>
      <c r="D28" s="57">
        <v>928711</v>
      </c>
      <c r="E28" s="57">
        <v>1326</v>
      </c>
      <c r="G28" s="240"/>
      <c r="H28" s="98">
        <v>1110</v>
      </c>
      <c r="I28" s="98">
        <f t="shared" si="2"/>
        <v>1326</v>
      </c>
      <c r="J28" s="48"/>
      <c r="K28" s="48">
        <v>855617</v>
      </c>
      <c r="L28" s="48">
        <f t="shared" si="3"/>
        <v>928711</v>
      </c>
      <c r="M28" s="48"/>
      <c r="N28" s="48">
        <f t="shared" si="4"/>
        <v>1297.3094269982948</v>
      </c>
      <c r="O28" s="48">
        <f t="shared" si="4"/>
        <v>1427.7853928724867</v>
      </c>
      <c r="P28" s="48"/>
      <c r="Q28" s="48">
        <f t="shared" si="5"/>
        <v>130.47596587419184</v>
      </c>
      <c r="R28" s="48"/>
      <c r="S28" s="48">
        <v>10308</v>
      </c>
      <c r="T28" s="48">
        <v>10746</v>
      </c>
      <c r="U28" s="48"/>
      <c r="V28" s="48">
        <f t="shared" si="0"/>
        <v>1297.3094269982948</v>
      </c>
      <c r="W28" s="48">
        <f t="shared" si="6"/>
        <v>1486.591662890605</v>
      </c>
      <c r="X28" s="48"/>
      <c r="Y28" s="48">
        <f t="shared" si="1"/>
        <v>189.28223589231015</v>
      </c>
    </row>
    <row r="29" spans="1:25" x14ac:dyDescent="0.25">
      <c r="A29" s="25" t="s">
        <v>201</v>
      </c>
      <c r="B29" s="85">
        <f t="shared" si="7"/>
        <v>126.30448854576169</v>
      </c>
      <c r="D29" s="57">
        <v>401147</v>
      </c>
      <c r="E29" s="57">
        <v>608</v>
      </c>
      <c r="G29" s="240"/>
      <c r="H29" s="98">
        <v>528</v>
      </c>
      <c r="I29" s="98">
        <f t="shared" si="2"/>
        <v>608</v>
      </c>
      <c r="J29" s="48"/>
      <c r="K29" s="48">
        <v>385037</v>
      </c>
      <c r="L29" s="48">
        <f t="shared" si="3"/>
        <v>401147</v>
      </c>
      <c r="M29" s="48"/>
      <c r="N29" s="48">
        <f t="shared" si="4"/>
        <v>1371.2967844648697</v>
      </c>
      <c r="O29" s="48">
        <f t="shared" si="4"/>
        <v>1515.6538625491403</v>
      </c>
      <c r="P29" s="48"/>
      <c r="Q29" s="48">
        <f t="shared" si="5"/>
        <v>144.3570780842706</v>
      </c>
      <c r="R29" s="48"/>
      <c r="S29" s="48">
        <v>5125</v>
      </c>
      <c r="T29" s="48">
        <v>5148</v>
      </c>
      <c r="U29" s="48"/>
      <c r="V29" s="48">
        <f t="shared" si="0"/>
        <v>1371.2967844648697</v>
      </c>
      <c r="W29" s="48">
        <f t="shared" si="6"/>
        <v>1572.0141318460444</v>
      </c>
      <c r="X29" s="48"/>
      <c r="Y29" s="48">
        <f t="shared" si="1"/>
        <v>200.7173473811747</v>
      </c>
    </row>
    <row r="30" spans="1:25" x14ac:dyDescent="0.25">
      <c r="A30" s="25" t="s">
        <v>203</v>
      </c>
      <c r="B30" s="85">
        <f t="shared" si="7"/>
        <v>133.59814126921219</v>
      </c>
      <c r="D30" s="57">
        <v>446613</v>
      </c>
      <c r="E30" s="57">
        <v>716</v>
      </c>
      <c r="G30" s="240"/>
      <c r="H30" s="98">
        <v>584</v>
      </c>
      <c r="I30" s="98">
        <f t="shared" si="2"/>
        <v>716</v>
      </c>
      <c r="J30" s="48"/>
      <c r="K30" s="48">
        <v>403715</v>
      </c>
      <c r="L30" s="48">
        <f t="shared" si="3"/>
        <v>446613</v>
      </c>
      <c r="M30" s="48"/>
      <c r="N30" s="48">
        <f t="shared" si="4"/>
        <v>1446.5650273088688</v>
      </c>
      <c r="O30" s="48">
        <f t="shared" si="4"/>
        <v>1603.1776952305463</v>
      </c>
      <c r="P30" s="48"/>
      <c r="Q30" s="48">
        <f t="shared" si="5"/>
        <v>156.61266792167748</v>
      </c>
      <c r="R30" s="48"/>
      <c r="S30" s="48">
        <v>5057</v>
      </c>
      <c r="T30" s="48">
        <v>5349</v>
      </c>
      <c r="U30" s="48"/>
      <c r="V30" s="48">
        <f t="shared" si="0"/>
        <v>1446.5650273088688</v>
      </c>
      <c r="W30" s="48">
        <f t="shared" si="6"/>
        <v>1676.7120757625544</v>
      </c>
      <c r="X30" s="48"/>
      <c r="Y30" s="48">
        <f t="shared" si="1"/>
        <v>230.14704845368556</v>
      </c>
    </row>
    <row r="31" spans="1:25" x14ac:dyDescent="0.25">
      <c r="A31" s="60" t="s">
        <v>204</v>
      </c>
      <c r="B31" s="85">
        <f t="shared" si="7"/>
        <v>161.49881126900615</v>
      </c>
      <c r="D31" s="57">
        <v>31280416</v>
      </c>
      <c r="E31" s="57">
        <v>60621</v>
      </c>
      <c r="G31" s="240"/>
      <c r="H31" s="98">
        <v>44201</v>
      </c>
      <c r="I31" s="98">
        <f t="shared" si="2"/>
        <v>60621</v>
      </c>
      <c r="J31" s="48"/>
      <c r="K31" s="48">
        <v>28325443</v>
      </c>
      <c r="L31" s="48">
        <f t="shared" si="3"/>
        <v>31280416</v>
      </c>
      <c r="M31" s="48"/>
      <c r="N31" s="48">
        <f t="shared" si="4"/>
        <v>1560.4698574352394</v>
      </c>
      <c r="O31" s="48">
        <f t="shared" si="4"/>
        <v>1937.9857352280737</v>
      </c>
      <c r="P31" s="48"/>
      <c r="Q31" s="48">
        <f t="shared" si="5"/>
        <v>377.51587779283432</v>
      </c>
      <c r="R31" s="48"/>
      <c r="S31" s="48">
        <v>370430</v>
      </c>
      <c r="T31" s="48">
        <v>395836</v>
      </c>
      <c r="U31" s="48"/>
      <c r="V31" s="48">
        <f t="shared" si="0"/>
        <v>1560.4698574352394</v>
      </c>
      <c r="W31" s="48">
        <f t="shared" si="6"/>
        <v>2002.7984548255888</v>
      </c>
      <c r="X31" s="48"/>
      <c r="Y31" s="48">
        <f t="shared" si="1"/>
        <v>442.32859739034939</v>
      </c>
    </row>
    <row r="32" spans="1:25" x14ac:dyDescent="0.25">
      <c r="A32" s="25" t="s">
        <v>207</v>
      </c>
      <c r="B32" s="85">
        <f t="shared" si="7"/>
        <v>159.01178361006961</v>
      </c>
      <c r="D32" s="57">
        <v>477952</v>
      </c>
      <c r="E32" s="57">
        <v>912</v>
      </c>
      <c r="G32" s="240"/>
      <c r="H32" s="98">
        <v>628</v>
      </c>
      <c r="I32" s="98">
        <f t="shared" si="2"/>
        <v>912</v>
      </c>
      <c r="J32" s="48"/>
      <c r="K32" s="48">
        <v>439168</v>
      </c>
      <c r="L32" s="48">
        <f t="shared" si="3"/>
        <v>477952</v>
      </c>
      <c r="M32" s="48"/>
      <c r="N32" s="48">
        <f t="shared" si="4"/>
        <v>1429.9766831827455</v>
      </c>
      <c r="O32" s="48">
        <f t="shared" si="4"/>
        <v>1908.1414033208355</v>
      </c>
      <c r="P32" s="48"/>
      <c r="Q32" s="48">
        <f t="shared" si="5"/>
        <v>478.16472013808993</v>
      </c>
      <c r="R32" s="48"/>
      <c r="S32" s="48">
        <v>5004</v>
      </c>
      <c r="T32" s="48">
        <v>5327</v>
      </c>
      <c r="U32" s="48"/>
      <c r="V32" s="48">
        <f t="shared" si="0"/>
        <v>1429.9766831827453</v>
      </c>
      <c r="W32" s="48">
        <f t="shared" si="6"/>
        <v>1950.7371503222887</v>
      </c>
      <c r="X32" s="48"/>
      <c r="Y32" s="48">
        <f t="shared" si="1"/>
        <v>520.76046713954338</v>
      </c>
    </row>
    <row r="33" spans="1:25" x14ac:dyDescent="0.25">
      <c r="A33" s="25" t="s">
        <v>208</v>
      </c>
      <c r="B33" s="85">
        <f t="shared" si="7"/>
        <v>139.53545427223827</v>
      </c>
      <c r="D33" s="57">
        <v>326082</v>
      </c>
      <c r="E33" s="57">
        <v>546</v>
      </c>
      <c r="G33" s="240"/>
      <c r="H33" s="98">
        <v>331</v>
      </c>
      <c r="I33" s="98">
        <f t="shared" si="2"/>
        <v>546</v>
      </c>
      <c r="J33" s="48"/>
      <c r="K33" s="48">
        <v>282277</v>
      </c>
      <c r="L33" s="48">
        <f t="shared" si="3"/>
        <v>326082</v>
      </c>
      <c r="M33" s="48"/>
      <c r="N33" s="48">
        <f t="shared" si="4"/>
        <v>1172.6070491042487</v>
      </c>
      <c r="O33" s="48">
        <f t="shared" si="4"/>
        <v>1674.4254512668592</v>
      </c>
      <c r="P33" s="48"/>
      <c r="Q33" s="48">
        <f t="shared" si="5"/>
        <v>501.81840216261048</v>
      </c>
      <c r="R33" s="48"/>
      <c r="S33" s="48">
        <v>2547</v>
      </c>
      <c r="T33" s="48">
        <v>2490</v>
      </c>
      <c r="U33" s="48"/>
      <c r="V33" s="48">
        <f t="shared" si="0"/>
        <v>1172.6070491042485</v>
      </c>
      <c r="W33" s="48">
        <f t="shared" si="6"/>
        <v>1978.5487134294428</v>
      </c>
      <c r="X33" s="48"/>
      <c r="Y33" s="48">
        <f t="shared" si="1"/>
        <v>805.94166432519432</v>
      </c>
    </row>
    <row r="34" spans="1:25" x14ac:dyDescent="0.25">
      <c r="A34" s="25" t="s">
        <v>209</v>
      </c>
      <c r="B34" s="85">
        <f t="shared" si="7"/>
        <v>166.04420137277739</v>
      </c>
      <c r="D34" s="57">
        <v>10704479</v>
      </c>
      <c r="E34" s="57">
        <v>21329</v>
      </c>
      <c r="G34" s="240"/>
      <c r="H34" s="98">
        <v>14883</v>
      </c>
      <c r="I34" s="98">
        <f t="shared" si="2"/>
        <v>21329</v>
      </c>
      <c r="J34" s="48"/>
      <c r="K34" s="48">
        <v>9565845</v>
      </c>
      <c r="L34" s="48">
        <f t="shared" si="3"/>
        <v>10704479</v>
      </c>
      <c r="M34" s="48"/>
      <c r="N34" s="48">
        <f t="shared" si="4"/>
        <v>1555.8479151606575</v>
      </c>
      <c r="O34" s="48">
        <f t="shared" si="4"/>
        <v>1992.5304164733286</v>
      </c>
      <c r="P34" s="48"/>
      <c r="Q34" s="48">
        <f t="shared" si="5"/>
        <v>436.68250131267109</v>
      </c>
      <c r="R34" s="48"/>
      <c r="S34" s="48">
        <v>127182</v>
      </c>
      <c r="T34" s="48">
        <v>139930</v>
      </c>
      <c r="U34" s="48"/>
      <c r="V34" s="48">
        <f t="shared" si="0"/>
        <v>1555.8479151606577</v>
      </c>
      <c r="W34" s="48">
        <f t="shared" si="6"/>
        <v>2026.5716865909556</v>
      </c>
      <c r="X34" s="48"/>
      <c r="Y34" s="48">
        <f t="shared" si="1"/>
        <v>470.7237714302978</v>
      </c>
    </row>
    <row r="35" spans="1:25" x14ac:dyDescent="0.25">
      <c r="A35" s="25" t="s">
        <v>210</v>
      </c>
      <c r="B35" s="85">
        <f t="shared" si="7"/>
        <v>159.39971984995455</v>
      </c>
      <c r="D35" s="57">
        <v>4879766</v>
      </c>
      <c r="E35" s="57">
        <v>9334</v>
      </c>
      <c r="G35" s="240"/>
      <c r="H35" s="98">
        <v>6979</v>
      </c>
      <c r="I35" s="98">
        <f t="shared" si="2"/>
        <v>9334</v>
      </c>
      <c r="J35" s="48"/>
      <c r="K35" s="48">
        <v>4411521</v>
      </c>
      <c r="L35" s="48">
        <f t="shared" si="3"/>
        <v>4879766</v>
      </c>
      <c r="M35" s="48"/>
      <c r="N35" s="48">
        <f t="shared" si="4"/>
        <v>1581.9940560183211</v>
      </c>
      <c r="O35" s="48">
        <f t="shared" si="4"/>
        <v>1912.7966381994547</v>
      </c>
      <c r="P35" s="48"/>
      <c r="Q35" s="48">
        <f t="shared" si="5"/>
        <v>330.80258218113363</v>
      </c>
      <c r="R35" s="48"/>
      <c r="S35" s="48">
        <v>59331</v>
      </c>
      <c r="T35" s="48">
        <v>63359</v>
      </c>
      <c r="U35" s="48"/>
      <c r="V35" s="48">
        <f t="shared" si="0"/>
        <v>1581.9940560183213</v>
      </c>
      <c r="W35" s="48">
        <f t="shared" si="6"/>
        <v>1981.3116800156695</v>
      </c>
      <c r="X35" s="48"/>
      <c r="Y35" s="48">
        <f t="shared" si="1"/>
        <v>399.31762399734816</v>
      </c>
    </row>
    <row r="36" spans="1:25" x14ac:dyDescent="0.25">
      <c r="A36" s="25" t="s">
        <v>211</v>
      </c>
      <c r="B36" s="85">
        <f t="shared" si="7"/>
        <v>184.04606105705327</v>
      </c>
      <c r="D36" s="57">
        <v>2472660</v>
      </c>
      <c r="E36" s="57">
        <v>5461</v>
      </c>
      <c r="G36" s="240"/>
      <c r="H36" s="98">
        <v>3611</v>
      </c>
      <c r="I36" s="98">
        <f t="shared" si="2"/>
        <v>5461</v>
      </c>
      <c r="J36" s="48"/>
      <c r="K36" s="48">
        <v>2352534</v>
      </c>
      <c r="L36" s="48">
        <f t="shared" si="3"/>
        <v>2472660</v>
      </c>
      <c r="M36" s="48"/>
      <c r="N36" s="48">
        <f t="shared" si="4"/>
        <v>1534.9406214745461</v>
      </c>
      <c r="O36" s="48">
        <f t="shared" si="4"/>
        <v>2208.5527326846391</v>
      </c>
      <c r="P36" s="48"/>
      <c r="Q36" s="48">
        <f t="shared" si="5"/>
        <v>673.61211121009296</v>
      </c>
      <c r="R36" s="48"/>
      <c r="S36" s="48">
        <v>27534</v>
      </c>
      <c r="T36" s="48">
        <v>28032</v>
      </c>
      <c r="U36" s="48"/>
      <c r="V36" s="48">
        <f t="shared" si="0"/>
        <v>1534.9406214745459</v>
      </c>
      <c r="W36" s="48">
        <f t="shared" si="6"/>
        <v>2280.0873826917805</v>
      </c>
      <c r="X36" s="48"/>
      <c r="Y36" s="48">
        <f t="shared" si="1"/>
        <v>745.1467612172346</v>
      </c>
    </row>
    <row r="37" spans="1:25" x14ac:dyDescent="0.25">
      <c r="A37" s="25" t="s">
        <v>212</v>
      </c>
      <c r="B37" s="85">
        <f t="shared" si="7"/>
        <v>145.01713932129158</v>
      </c>
      <c r="D37" s="57">
        <v>5201684</v>
      </c>
      <c r="E37" s="57">
        <v>9052</v>
      </c>
      <c r="G37" s="240"/>
      <c r="H37" s="98">
        <v>6834</v>
      </c>
      <c r="I37" s="98">
        <f t="shared" si="2"/>
        <v>9052</v>
      </c>
      <c r="J37" s="48"/>
      <c r="K37" s="48">
        <v>4620856</v>
      </c>
      <c r="L37" s="48">
        <f t="shared" si="3"/>
        <v>5201684</v>
      </c>
      <c r="M37" s="48"/>
      <c r="N37" s="48">
        <f t="shared" ref="N37:O66" si="8">H37*1000000/K37</f>
        <v>1478.9467579167149</v>
      </c>
      <c r="O37" s="48">
        <f t="shared" si="8"/>
        <v>1740.2056718554991</v>
      </c>
      <c r="P37" s="48"/>
      <c r="Q37" s="48">
        <f t="shared" si="5"/>
        <v>261.25891393878419</v>
      </c>
      <c r="R37" s="48"/>
      <c r="S37" s="48">
        <v>59853</v>
      </c>
      <c r="T37" s="48">
        <v>64564</v>
      </c>
      <c r="U37" s="48"/>
      <c r="V37" s="48">
        <f t="shared" si="0"/>
        <v>1478.9467579167149</v>
      </c>
      <c r="W37" s="48">
        <f t="shared" si="6"/>
        <v>1816.0073628520649</v>
      </c>
      <c r="X37" s="48"/>
      <c r="Y37" s="48">
        <f t="shared" si="1"/>
        <v>337.06060493535006</v>
      </c>
    </row>
    <row r="38" spans="1:25" x14ac:dyDescent="0.25">
      <c r="A38" s="25" t="s">
        <v>213</v>
      </c>
      <c r="B38" s="85">
        <f t="shared" si="7"/>
        <v>159.3640029057191</v>
      </c>
      <c r="D38" s="57">
        <v>2641228</v>
      </c>
      <c r="E38" s="57">
        <v>5051</v>
      </c>
      <c r="G38" s="240"/>
      <c r="H38" s="98">
        <v>4048</v>
      </c>
      <c r="I38" s="98">
        <f t="shared" si="2"/>
        <v>5051</v>
      </c>
      <c r="J38" s="48"/>
      <c r="K38" s="48">
        <v>2330901</v>
      </c>
      <c r="L38" s="48">
        <f t="shared" si="3"/>
        <v>2641228</v>
      </c>
      <c r="M38" s="48"/>
      <c r="N38" s="48">
        <f t="shared" si="8"/>
        <v>1736.667494672661</v>
      </c>
      <c r="O38" s="48">
        <f t="shared" si="8"/>
        <v>1912.3680348686294</v>
      </c>
      <c r="P38" s="48"/>
      <c r="Q38" s="48">
        <f t="shared" si="5"/>
        <v>175.70054019596841</v>
      </c>
      <c r="R38" s="48"/>
      <c r="S38" s="48">
        <v>31160</v>
      </c>
      <c r="T38" s="48">
        <v>33755</v>
      </c>
      <c r="U38" s="48"/>
      <c r="V38" s="48">
        <f t="shared" si="0"/>
        <v>1736.6674946726607</v>
      </c>
      <c r="W38" s="48">
        <f t="shared" si="6"/>
        <v>2000.3817190736386</v>
      </c>
      <c r="X38" s="48"/>
      <c r="Y38" s="48">
        <f t="shared" si="1"/>
        <v>263.71422440097786</v>
      </c>
    </row>
    <row r="39" spans="1:25" x14ac:dyDescent="0.25">
      <c r="A39" s="25" t="s">
        <v>214</v>
      </c>
      <c r="B39" s="85">
        <f t="shared" si="7"/>
        <v>162.14840386541655</v>
      </c>
      <c r="D39" s="57">
        <v>3707509</v>
      </c>
      <c r="E39" s="57">
        <v>7214</v>
      </c>
      <c r="G39" s="240"/>
      <c r="H39" s="98">
        <v>5632</v>
      </c>
      <c r="I39" s="98">
        <f t="shared" si="2"/>
        <v>7214</v>
      </c>
      <c r="J39" s="48"/>
      <c r="K39" s="48">
        <v>3464676</v>
      </c>
      <c r="L39" s="48">
        <f t="shared" si="3"/>
        <v>3707509</v>
      </c>
      <c r="M39" s="48"/>
      <c r="N39" s="48">
        <f t="shared" si="8"/>
        <v>1625.548824767453</v>
      </c>
      <c r="O39" s="48">
        <f t="shared" si="8"/>
        <v>1945.7808463849988</v>
      </c>
      <c r="P39" s="48"/>
      <c r="Q39" s="48">
        <f t="shared" si="5"/>
        <v>320.2320216175458</v>
      </c>
      <c r="R39" s="48"/>
      <c r="S39" s="48">
        <v>46666</v>
      </c>
      <c r="T39" s="48">
        <v>47217</v>
      </c>
      <c r="U39" s="48"/>
      <c r="V39" s="48">
        <f t="shared" si="0"/>
        <v>1625.548824767453</v>
      </c>
      <c r="W39" s="48">
        <f t="shared" si="6"/>
        <v>2057.8593902670123</v>
      </c>
      <c r="X39" s="48"/>
      <c r="Y39" s="48">
        <f t="shared" si="1"/>
        <v>432.31056549955929</v>
      </c>
    </row>
    <row r="40" spans="1:25" x14ac:dyDescent="0.25">
      <c r="A40" s="25" t="s">
        <v>215</v>
      </c>
      <c r="B40" s="85">
        <f t="shared" si="7"/>
        <v>164.92991629231412</v>
      </c>
      <c r="D40" s="57">
        <v>869056</v>
      </c>
      <c r="E40" s="57">
        <v>1720</v>
      </c>
      <c r="G40" s="240"/>
      <c r="H40" s="98">
        <v>1255</v>
      </c>
      <c r="I40" s="98">
        <f t="shared" si="2"/>
        <v>1720</v>
      </c>
      <c r="J40" s="48"/>
      <c r="K40" s="48">
        <v>857666</v>
      </c>
      <c r="L40" s="48">
        <f t="shared" si="3"/>
        <v>869056</v>
      </c>
      <c r="M40" s="48"/>
      <c r="N40" s="48">
        <f t="shared" si="8"/>
        <v>1463.2735820237715</v>
      </c>
      <c r="O40" s="48">
        <f t="shared" si="8"/>
        <v>1979.1589955077693</v>
      </c>
      <c r="P40" s="48"/>
      <c r="Q40" s="48">
        <f t="shared" si="5"/>
        <v>515.88541348399781</v>
      </c>
      <c r="R40" s="48"/>
      <c r="S40" s="48">
        <v>11153</v>
      </c>
      <c r="T40" s="48">
        <v>11163</v>
      </c>
      <c r="U40" s="48"/>
      <c r="V40" s="48">
        <f t="shared" si="0"/>
        <v>1463.2735820237713</v>
      </c>
      <c r="W40" s="48">
        <f t="shared" si="6"/>
        <v>2003.6461694374614</v>
      </c>
      <c r="X40" s="48"/>
      <c r="Y40" s="48">
        <f t="shared" si="1"/>
        <v>540.3725874136901</v>
      </c>
    </row>
    <row r="41" spans="1:25" x14ac:dyDescent="0.25">
      <c r="A41" s="60" t="s">
        <v>216</v>
      </c>
      <c r="B41" s="85">
        <f t="shared" si="7"/>
        <v>164.33880993954816</v>
      </c>
      <c r="D41" s="57">
        <v>8943921</v>
      </c>
      <c r="E41" s="57">
        <v>17638</v>
      </c>
      <c r="G41" s="240"/>
      <c r="H41" s="98">
        <v>13668</v>
      </c>
      <c r="I41" s="98">
        <f t="shared" si="2"/>
        <v>17638</v>
      </c>
      <c r="J41" s="48"/>
      <c r="K41" s="48">
        <v>8448897</v>
      </c>
      <c r="L41" s="48">
        <f t="shared" si="3"/>
        <v>8943921</v>
      </c>
      <c r="M41" s="48"/>
      <c r="N41" s="48">
        <f t="shared" si="8"/>
        <v>1617.725958784916</v>
      </c>
      <c r="O41" s="48">
        <f t="shared" si="8"/>
        <v>1972.0657192745778</v>
      </c>
      <c r="P41" s="48"/>
      <c r="Q41" s="48">
        <f t="shared" si="5"/>
        <v>354.33976048966178</v>
      </c>
      <c r="R41" s="48"/>
      <c r="S41" s="48">
        <v>120280</v>
      </c>
      <c r="T41" s="48">
        <v>125069</v>
      </c>
      <c r="U41" s="48"/>
      <c r="V41" s="48">
        <f t="shared" si="0"/>
        <v>1617.725958784916</v>
      </c>
      <c r="W41" s="48">
        <f t="shared" si="6"/>
        <v>2007.6733981471989</v>
      </c>
      <c r="X41" s="48"/>
      <c r="Y41" s="48">
        <f t="shared" si="1"/>
        <v>389.94743936228292</v>
      </c>
    </row>
    <row r="42" spans="1:25" x14ac:dyDescent="0.25">
      <c r="A42" s="25" t="s">
        <v>217</v>
      </c>
      <c r="B42" s="85">
        <f t="shared" si="7"/>
        <v>184.07144308322435</v>
      </c>
      <c r="D42" s="57">
        <v>2439723</v>
      </c>
      <c r="E42" s="57">
        <v>5389</v>
      </c>
      <c r="G42" s="240"/>
      <c r="H42" s="98">
        <v>4061</v>
      </c>
      <c r="I42" s="98">
        <f t="shared" si="2"/>
        <v>5389</v>
      </c>
      <c r="J42" s="48"/>
      <c r="K42" s="48">
        <v>2249426</v>
      </c>
      <c r="L42" s="48">
        <f t="shared" si="3"/>
        <v>2439723</v>
      </c>
      <c r="M42" s="48"/>
      <c r="N42" s="48">
        <f t="shared" si="8"/>
        <v>1805.3494535939392</v>
      </c>
      <c r="O42" s="48">
        <f t="shared" si="8"/>
        <v>2208.8573169986921</v>
      </c>
      <c r="P42" s="48"/>
      <c r="Q42" s="48">
        <f t="shared" si="5"/>
        <v>403.50786340475292</v>
      </c>
      <c r="R42" s="48"/>
      <c r="S42" s="48">
        <v>32416</v>
      </c>
      <c r="T42" s="48">
        <v>33479</v>
      </c>
      <c r="U42" s="48"/>
      <c r="V42" s="48">
        <f t="shared" si="0"/>
        <v>1805.349453593939</v>
      </c>
      <c r="W42" s="48">
        <f t="shared" si="6"/>
        <v>2319.6551163032036</v>
      </c>
      <c r="X42" s="48"/>
      <c r="Y42" s="48">
        <f t="shared" si="1"/>
        <v>514.30566270926465</v>
      </c>
    </row>
    <row r="43" spans="1:25" x14ac:dyDescent="0.25">
      <c r="A43" s="25" t="s">
        <v>218</v>
      </c>
      <c r="B43" s="85">
        <f t="shared" si="7"/>
        <v>148.57628811439139</v>
      </c>
      <c r="D43" s="57">
        <v>2022530</v>
      </c>
      <c r="E43" s="57">
        <v>3606</v>
      </c>
      <c r="G43" s="240"/>
      <c r="H43" s="98">
        <v>2869</v>
      </c>
      <c r="I43" s="98">
        <f t="shared" si="2"/>
        <v>3606</v>
      </c>
      <c r="J43" s="48"/>
      <c r="K43" s="48">
        <v>1991139</v>
      </c>
      <c r="L43" s="48">
        <f t="shared" si="3"/>
        <v>2022530</v>
      </c>
      <c r="M43" s="48"/>
      <c r="N43" s="48">
        <f t="shared" si="8"/>
        <v>1440.8838358346654</v>
      </c>
      <c r="O43" s="48">
        <f t="shared" si="8"/>
        <v>1782.9154573726967</v>
      </c>
      <c r="P43" s="48"/>
      <c r="Q43" s="48">
        <f t="shared" si="5"/>
        <v>342.03162153803123</v>
      </c>
      <c r="R43" s="48"/>
      <c r="S43" s="48">
        <v>26573</v>
      </c>
      <c r="T43" s="48">
        <v>27235</v>
      </c>
      <c r="U43" s="48"/>
      <c r="V43" s="48">
        <f t="shared" si="0"/>
        <v>1440.8838358346654</v>
      </c>
      <c r="W43" s="48">
        <f t="shared" si="6"/>
        <v>1767.0032627564501</v>
      </c>
      <c r="X43" s="48"/>
      <c r="Y43" s="48">
        <f t="shared" si="1"/>
        <v>326.11942692178468</v>
      </c>
    </row>
    <row r="44" spans="1:25" x14ac:dyDescent="0.25">
      <c r="A44" s="25" t="s">
        <v>219</v>
      </c>
      <c r="B44" s="85">
        <f t="shared" si="7"/>
        <v>165.11841190479711</v>
      </c>
      <c r="D44" s="57">
        <v>1352060</v>
      </c>
      <c r="E44" s="57">
        <v>2679</v>
      </c>
      <c r="G44" s="240"/>
      <c r="H44" s="98">
        <v>2109</v>
      </c>
      <c r="I44" s="98">
        <f t="shared" si="2"/>
        <v>2679</v>
      </c>
      <c r="J44" s="48"/>
      <c r="K44" s="48">
        <v>1293417</v>
      </c>
      <c r="L44" s="48">
        <f t="shared" si="3"/>
        <v>1352060</v>
      </c>
      <c r="M44" s="48"/>
      <c r="N44" s="48">
        <f t="shared" si="8"/>
        <v>1630.564620690775</v>
      </c>
      <c r="O44" s="48">
        <f t="shared" si="8"/>
        <v>1981.4209428575655</v>
      </c>
      <c r="P44" s="48"/>
      <c r="Q44" s="48">
        <f t="shared" si="5"/>
        <v>350.85632216679051</v>
      </c>
      <c r="R44" s="48"/>
      <c r="S44" s="48">
        <v>18718</v>
      </c>
      <c r="T44" s="48">
        <v>19095</v>
      </c>
      <c r="U44" s="48"/>
      <c r="V44" s="48">
        <f t="shared" si="0"/>
        <v>1630.564620690775</v>
      </c>
      <c r="W44" s="48">
        <f t="shared" si="6"/>
        <v>2030.364115120311</v>
      </c>
      <c r="X44" s="48"/>
      <c r="Y44" s="48">
        <f t="shared" si="1"/>
        <v>399.79949442953603</v>
      </c>
    </row>
    <row r="45" spans="1:25" x14ac:dyDescent="0.25">
      <c r="A45" s="25" t="s">
        <v>220</v>
      </c>
      <c r="B45" s="85">
        <f t="shared" si="7"/>
        <v>158.80583127343743</v>
      </c>
      <c r="D45" s="57">
        <v>3129608</v>
      </c>
      <c r="E45" s="57">
        <v>5964</v>
      </c>
      <c r="G45" s="240"/>
      <c r="H45" s="98">
        <v>4629</v>
      </c>
      <c r="I45" s="98">
        <f t="shared" si="2"/>
        <v>5964</v>
      </c>
      <c r="J45" s="48"/>
      <c r="K45" s="48">
        <v>2914916</v>
      </c>
      <c r="L45" s="48">
        <f t="shared" si="3"/>
        <v>3129608</v>
      </c>
      <c r="M45" s="48"/>
      <c r="N45" s="48">
        <f t="shared" si="8"/>
        <v>1588.0389006063983</v>
      </c>
      <c r="O45" s="48">
        <f t="shared" si="8"/>
        <v>1905.6699752812492</v>
      </c>
      <c r="P45" s="48"/>
      <c r="Q45" s="48">
        <f t="shared" si="5"/>
        <v>317.63107467485088</v>
      </c>
      <c r="R45" s="48"/>
      <c r="S45" s="48">
        <v>42573</v>
      </c>
      <c r="T45" s="48">
        <v>45260</v>
      </c>
      <c r="U45" s="48"/>
      <c r="V45" s="48">
        <f t="shared" si="0"/>
        <v>1588.0389006063983</v>
      </c>
      <c r="W45" s="48">
        <f t="shared" si="6"/>
        <v>1924.5592939024759</v>
      </c>
      <c r="X45" s="48"/>
      <c r="Y45" s="48">
        <f t="shared" si="1"/>
        <v>336.5203932960776</v>
      </c>
    </row>
    <row r="46" spans="1:25" x14ac:dyDescent="0.25">
      <c r="A46" s="60" t="s">
        <v>221</v>
      </c>
      <c r="B46" s="85">
        <f t="shared" si="7"/>
        <v>162.91433081375172</v>
      </c>
      <c r="D46" s="57">
        <v>18468807</v>
      </c>
      <c r="E46" s="57">
        <v>36106</v>
      </c>
      <c r="G46" s="240"/>
      <c r="H46" s="98">
        <v>25587</v>
      </c>
      <c r="I46" s="98">
        <f t="shared" si="2"/>
        <v>36106</v>
      </c>
      <c r="J46" s="48"/>
      <c r="K46" s="48">
        <v>16636125</v>
      </c>
      <c r="L46" s="48">
        <f t="shared" si="3"/>
        <v>18468807</v>
      </c>
      <c r="M46" s="48"/>
      <c r="N46" s="48">
        <f t="shared" si="8"/>
        <v>1538.0384554696482</v>
      </c>
      <c r="O46" s="48">
        <f t="shared" si="8"/>
        <v>1954.9719697650205</v>
      </c>
      <c r="P46" s="48"/>
      <c r="Q46" s="48">
        <f t="shared" si="5"/>
        <v>416.93351429537233</v>
      </c>
      <c r="R46" s="48"/>
      <c r="S46" s="48">
        <v>229006</v>
      </c>
      <c r="T46" s="48">
        <v>246401</v>
      </c>
      <c r="U46" s="48"/>
      <c r="V46" s="48">
        <f t="shared" si="0"/>
        <v>1538.0384554696482</v>
      </c>
      <c r="W46" s="48">
        <f t="shared" si="6"/>
        <v>2017.1193612335594</v>
      </c>
      <c r="X46" s="48"/>
      <c r="Y46" s="48">
        <f t="shared" si="1"/>
        <v>479.08090576391123</v>
      </c>
    </row>
    <row r="47" spans="1:25" x14ac:dyDescent="0.25">
      <c r="A47" s="25" t="s">
        <v>222</v>
      </c>
      <c r="B47" s="85">
        <f t="shared" si="7"/>
        <v>137.07263939032222</v>
      </c>
      <c r="D47" s="57">
        <v>1500421</v>
      </c>
      <c r="E47" s="57">
        <v>2468</v>
      </c>
      <c r="G47" s="240"/>
      <c r="H47" s="98">
        <v>1835</v>
      </c>
      <c r="I47" s="98">
        <f t="shared" si="2"/>
        <v>2468</v>
      </c>
      <c r="J47" s="48"/>
      <c r="K47" s="48">
        <v>1396869</v>
      </c>
      <c r="L47" s="48">
        <f t="shared" si="3"/>
        <v>1500421</v>
      </c>
      <c r="M47" s="48"/>
      <c r="N47" s="48">
        <f t="shared" si="8"/>
        <v>1313.6521749713108</v>
      </c>
      <c r="O47" s="48">
        <f t="shared" si="8"/>
        <v>1644.8716726838668</v>
      </c>
      <c r="P47" s="48"/>
      <c r="Q47" s="48">
        <f t="shared" si="5"/>
        <v>331.21949771255595</v>
      </c>
      <c r="R47" s="48"/>
      <c r="S47" s="48">
        <v>18732</v>
      </c>
      <c r="T47" s="48">
        <v>19228</v>
      </c>
      <c r="U47" s="48"/>
      <c r="V47" s="48">
        <f t="shared" si="0"/>
        <v>1313.6521749713108</v>
      </c>
      <c r="W47" s="48">
        <f t="shared" si="6"/>
        <v>1721.232396459083</v>
      </c>
      <c r="X47" s="48"/>
      <c r="Y47" s="48">
        <f t="shared" si="1"/>
        <v>407.58022148777218</v>
      </c>
    </row>
    <row r="48" spans="1:25" x14ac:dyDescent="0.25">
      <c r="A48" s="25" t="s">
        <v>223</v>
      </c>
      <c r="B48" s="85">
        <f t="shared" si="7"/>
        <v>153.71878828562174</v>
      </c>
      <c r="D48" s="57">
        <v>2169004</v>
      </c>
      <c r="E48" s="57">
        <v>4001</v>
      </c>
      <c r="G48" s="240"/>
      <c r="H48" s="98">
        <v>3035</v>
      </c>
      <c r="I48" s="98">
        <f t="shared" si="2"/>
        <v>4001</v>
      </c>
      <c r="J48" s="48"/>
      <c r="K48" s="48">
        <v>2095466</v>
      </c>
      <c r="L48" s="48">
        <f t="shared" si="3"/>
        <v>2169004</v>
      </c>
      <c r="M48" s="48"/>
      <c r="N48" s="48">
        <f t="shared" si="8"/>
        <v>1448.3651846415069</v>
      </c>
      <c r="O48" s="48">
        <f t="shared" si="8"/>
        <v>1844.6254594274608</v>
      </c>
      <c r="P48" s="48"/>
      <c r="Q48" s="48">
        <f t="shared" si="5"/>
        <v>396.26027478595392</v>
      </c>
      <c r="R48" s="48"/>
      <c r="S48" s="48">
        <v>30986</v>
      </c>
      <c r="T48" s="48">
        <v>31836</v>
      </c>
      <c r="U48" s="48"/>
      <c r="V48" s="48">
        <f t="shared" si="0"/>
        <v>1448.3651846415069</v>
      </c>
      <c r="W48" s="48">
        <f t="shared" si="6"/>
        <v>1858.3818417083003</v>
      </c>
      <c r="X48" s="48"/>
      <c r="Y48" s="48">
        <f t="shared" si="1"/>
        <v>410.01665706679341</v>
      </c>
    </row>
    <row r="49" spans="1:25" x14ac:dyDescent="0.25">
      <c r="A49" s="25" t="s">
        <v>224</v>
      </c>
      <c r="B49" s="85">
        <f t="shared" si="7"/>
        <v>139.8276069354493</v>
      </c>
      <c r="D49" s="57">
        <v>1913070</v>
      </c>
      <c r="E49" s="57">
        <v>3210</v>
      </c>
      <c r="G49" s="240"/>
      <c r="H49" s="98">
        <v>2430</v>
      </c>
      <c r="I49" s="98">
        <f t="shared" si="2"/>
        <v>3210</v>
      </c>
      <c r="J49" s="48"/>
      <c r="K49" s="48">
        <v>1777155</v>
      </c>
      <c r="L49" s="48">
        <f t="shared" si="3"/>
        <v>1913070</v>
      </c>
      <c r="M49" s="48"/>
      <c r="N49" s="48">
        <f t="shared" si="8"/>
        <v>1367.3540011985449</v>
      </c>
      <c r="O49" s="48">
        <f t="shared" si="8"/>
        <v>1677.9312832253916</v>
      </c>
      <c r="P49" s="48"/>
      <c r="Q49" s="48">
        <f t="shared" si="5"/>
        <v>310.57728202684666</v>
      </c>
      <c r="R49" s="48"/>
      <c r="S49" s="48">
        <v>23806</v>
      </c>
      <c r="T49" s="48">
        <v>24475</v>
      </c>
      <c r="U49" s="48"/>
      <c r="V49" s="48">
        <f t="shared" si="0"/>
        <v>1367.3540011985449</v>
      </c>
      <c r="W49" s="48">
        <f t="shared" si="6"/>
        <v>1756.8854793735024</v>
      </c>
      <c r="X49" s="48"/>
      <c r="Y49" s="48">
        <f t="shared" si="1"/>
        <v>389.53147817495756</v>
      </c>
    </row>
    <row r="50" spans="1:25" x14ac:dyDescent="0.25">
      <c r="A50" s="25" t="s">
        <v>225</v>
      </c>
      <c r="B50" s="85">
        <f t="shared" si="7"/>
        <v>170.8983920302411</v>
      </c>
      <c r="D50" s="57">
        <v>12886312</v>
      </c>
      <c r="E50" s="57">
        <v>26427</v>
      </c>
      <c r="G50" s="240"/>
      <c r="H50" s="98">
        <v>18287</v>
      </c>
      <c r="I50" s="98">
        <f t="shared" si="2"/>
        <v>26427</v>
      </c>
      <c r="J50" s="48"/>
      <c r="K50" s="48">
        <v>11366635</v>
      </c>
      <c r="L50" s="48">
        <f t="shared" si="3"/>
        <v>12886312</v>
      </c>
      <c r="M50" s="48"/>
      <c r="N50" s="48">
        <f t="shared" si="8"/>
        <v>1608.8314615539252</v>
      </c>
      <c r="O50" s="48">
        <f t="shared" si="8"/>
        <v>2050.7807043628932</v>
      </c>
      <c r="P50" s="48"/>
      <c r="Q50" s="48">
        <f t="shared" si="5"/>
        <v>441.94924280896794</v>
      </c>
      <c r="R50" s="48"/>
      <c r="S50" s="48">
        <v>155481</v>
      </c>
      <c r="T50" s="48">
        <v>170862</v>
      </c>
      <c r="U50" s="48"/>
      <c r="V50" s="48">
        <f t="shared" si="0"/>
        <v>1608.8314615539252</v>
      </c>
      <c r="W50" s="48">
        <f t="shared" si="6"/>
        <v>2115.6693280917743</v>
      </c>
      <c r="X50" s="48"/>
      <c r="Y50" s="48">
        <f t="shared" si="1"/>
        <v>506.8378665378491</v>
      </c>
    </row>
    <row r="51" spans="1:25" x14ac:dyDescent="0.25">
      <c r="A51" s="60" t="s">
        <v>226</v>
      </c>
      <c r="B51" s="85">
        <f t="shared" si="7"/>
        <v>120.91458294690528</v>
      </c>
      <c r="D51" s="57">
        <v>11030514</v>
      </c>
      <c r="E51" s="57">
        <v>16005</v>
      </c>
      <c r="G51" s="240"/>
      <c r="H51" s="98">
        <v>11866</v>
      </c>
      <c r="I51" s="98">
        <f t="shared" si="2"/>
        <v>16005</v>
      </c>
      <c r="J51" s="48"/>
      <c r="K51" s="48">
        <v>9994344</v>
      </c>
      <c r="L51" s="48">
        <f t="shared" si="3"/>
        <v>11030514</v>
      </c>
      <c r="M51" s="48"/>
      <c r="N51" s="48">
        <f t="shared" si="8"/>
        <v>1187.2715207721487</v>
      </c>
      <c r="O51" s="48">
        <f t="shared" si="8"/>
        <v>1450.9749953628634</v>
      </c>
      <c r="P51" s="48"/>
      <c r="Q51" s="48">
        <f t="shared" si="5"/>
        <v>263.70347459071468</v>
      </c>
      <c r="R51" s="48"/>
      <c r="S51" s="48">
        <v>100458</v>
      </c>
      <c r="T51" s="48">
        <v>111093</v>
      </c>
      <c r="U51" s="48"/>
      <c r="V51" s="48">
        <f t="shared" si="0"/>
        <v>1187.2715207721487</v>
      </c>
      <c r="W51" s="48">
        <f t="shared" si="6"/>
        <v>1448.1022147690826</v>
      </c>
      <c r="X51" s="48"/>
      <c r="Y51" s="48">
        <f t="shared" si="1"/>
        <v>260.83069399693386</v>
      </c>
    </row>
    <row r="52" spans="1:25" x14ac:dyDescent="0.25">
      <c r="A52" s="25" t="s">
        <v>227</v>
      </c>
      <c r="B52" s="85">
        <f t="shared" si="7"/>
        <v>156.19194335550182</v>
      </c>
      <c r="D52" s="57">
        <v>3193720</v>
      </c>
      <c r="E52" s="57">
        <v>5986</v>
      </c>
      <c r="G52" s="240"/>
      <c r="H52" s="98">
        <v>4317</v>
      </c>
      <c r="I52" s="98">
        <f t="shared" si="2"/>
        <v>5986</v>
      </c>
      <c r="J52" s="48"/>
      <c r="K52" s="48">
        <v>2853182</v>
      </c>
      <c r="L52" s="48">
        <f t="shared" si="3"/>
        <v>3193720</v>
      </c>
      <c r="M52" s="48"/>
      <c r="N52" s="48">
        <f t="shared" si="8"/>
        <v>1513.0475378016545</v>
      </c>
      <c r="O52" s="48">
        <f t="shared" si="8"/>
        <v>1874.303320266022</v>
      </c>
      <c r="P52" s="48"/>
      <c r="Q52" s="48">
        <f t="shared" si="5"/>
        <v>361.25578246436748</v>
      </c>
      <c r="R52" s="48"/>
      <c r="S52" s="48">
        <v>34720</v>
      </c>
      <c r="T52" s="48">
        <v>39062</v>
      </c>
      <c r="U52" s="48"/>
      <c r="V52" s="48">
        <f t="shared" si="0"/>
        <v>1513.0475378016542</v>
      </c>
      <c r="W52" s="48">
        <f t="shared" si="6"/>
        <v>1864.8009330952723</v>
      </c>
      <c r="X52" s="48"/>
      <c r="Y52" s="48">
        <f t="shared" si="1"/>
        <v>351.75339529361804</v>
      </c>
    </row>
    <row r="53" spans="1:25" x14ac:dyDescent="0.25">
      <c r="A53" s="25" t="s">
        <v>228</v>
      </c>
      <c r="B53" s="85">
        <f t="shared" si="7"/>
        <v>106.69376951853843</v>
      </c>
      <c r="D53" s="57">
        <v>2530607</v>
      </c>
      <c r="E53" s="57">
        <v>3240</v>
      </c>
      <c r="G53" s="240"/>
      <c r="H53" s="98">
        <v>2363</v>
      </c>
      <c r="I53" s="98">
        <f t="shared" si="2"/>
        <v>3240</v>
      </c>
      <c r="J53" s="48"/>
      <c r="K53" s="48">
        <v>2370162</v>
      </c>
      <c r="L53" s="48">
        <f t="shared" si="3"/>
        <v>2530607</v>
      </c>
      <c r="M53" s="48"/>
      <c r="N53" s="48">
        <f t="shared" si="8"/>
        <v>996.97826562066223</v>
      </c>
      <c r="O53" s="48">
        <f t="shared" si="8"/>
        <v>1280.3252342224612</v>
      </c>
      <c r="P53" s="48"/>
      <c r="Q53" s="48">
        <f t="shared" si="5"/>
        <v>283.34696860179895</v>
      </c>
      <c r="R53" s="48"/>
      <c r="S53" s="48">
        <v>19405</v>
      </c>
      <c r="T53" s="48">
        <v>20447</v>
      </c>
      <c r="U53" s="48"/>
      <c r="V53" s="48">
        <f t="shared" si="0"/>
        <v>996.97826562066211</v>
      </c>
      <c r="W53" s="48">
        <f t="shared" si="6"/>
        <v>1297.3316977436518</v>
      </c>
      <c r="X53" s="48"/>
      <c r="Y53" s="48">
        <f t="shared" si="1"/>
        <v>300.35343212298972</v>
      </c>
    </row>
    <row r="54" spans="1:25" x14ac:dyDescent="0.25">
      <c r="A54" s="25" t="s">
        <v>229</v>
      </c>
      <c r="B54" s="85">
        <f t="shared" si="7"/>
        <v>109.07723076397507</v>
      </c>
      <c r="D54" s="57">
        <v>897682</v>
      </c>
      <c r="E54" s="57">
        <v>1175</v>
      </c>
      <c r="G54" s="240"/>
      <c r="H54" s="98">
        <v>860</v>
      </c>
      <c r="I54" s="98">
        <f t="shared" si="2"/>
        <v>1175</v>
      </c>
      <c r="J54" s="48"/>
      <c r="K54" s="48">
        <v>763842</v>
      </c>
      <c r="L54" s="48">
        <f t="shared" si="3"/>
        <v>897682</v>
      </c>
      <c r="M54" s="48"/>
      <c r="N54" s="48">
        <f t="shared" si="8"/>
        <v>1125.8872908271605</v>
      </c>
      <c r="O54" s="48">
        <f t="shared" si="8"/>
        <v>1308.9267691677007</v>
      </c>
      <c r="P54" s="48"/>
      <c r="Q54" s="48">
        <f t="shared" si="5"/>
        <v>183.0394783405402</v>
      </c>
      <c r="R54" s="48"/>
      <c r="S54" s="48">
        <v>8697</v>
      </c>
      <c r="T54" s="48">
        <v>9936</v>
      </c>
      <c r="U54" s="48"/>
      <c r="V54" s="48">
        <f t="shared" si="0"/>
        <v>1125.8872908271603</v>
      </c>
      <c r="W54" s="48">
        <f t="shared" si="6"/>
        <v>1346.4561657141148</v>
      </c>
      <c r="X54" s="48"/>
      <c r="Y54" s="48">
        <f t="shared" si="1"/>
        <v>220.56887488695452</v>
      </c>
    </row>
    <row r="55" spans="1:25" x14ac:dyDescent="0.25">
      <c r="A55" s="25" t="s">
        <v>230</v>
      </c>
      <c r="B55" s="85">
        <f t="shared" si="7"/>
        <v>109.91474819450794</v>
      </c>
      <c r="D55" s="57">
        <v>570897</v>
      </c>
      <c r="E55" s="57">
        <v>753</v>
      </c>
      <c r="G55" s="240"/>
      <c r="H55" s="98">
        <v>591</v>
      </c>
      <c r="I55" s="98">
        <f t="shared" si="2"/>
        <v>753</v>
      </c>
      <c r="J55" s="48"/>
      <c r="K55" s="48">
        <v>516052</v>
      </c>
      <c r="L55" s="48">
        <f t="shared" si="3"/>
        <v>570897</v>
      </c>
      <c r="M55" s="48"/>
      <c r="N55" s="48">
        <f t="shared" si="8"/>
        <v>1145.2334260888438</v>
      </c>
      <c r="O55" s="48">
        <f t="shared" si="8"/>
        <v>1318.9769783340953</v>
      </c>
      <c r="P55" s="48"/>
      <c r="Q55" s="48">
        <f t="shared" si="5"/>
        <v>173.74355224525152</v>
      </c>
      <c r="R55" s="48"/>
      <c r="S55" s="48">
        <v>5308</v>
      </c>
      <c r="T55" s="48">
        <v>5800</v>
      </c>
      <c r="U55" s="48"/>
      <c r="V55" s="48">
        <f t="shared" si="0"/>
        <v>1145.2334260888438</v>
      </c>
      <c r="W55" s="48">
        <f t="shared" si="6"/>
        <v>1335.3786587130887</v>
      </c>
      <c r="X55" s="48"/>
      <c r="Y55" s="48">
        <f t="shared" si="1"/>
        <v>190.14523262424495</v>
      </c>
    </row>
    <row r="56" spans="1:25" x14ac:dyDescent="0.25">
      <c r="A56" s="25" t="s">
        <v>231</v>
      </c>
      <c r="B56" s="85">
        <f t="shared" si="7"/>
        <v>113.1371464696138</v>
      </c>
      <c r="D56" s="57">
        <v>1347185</v>
      </c>
      <c r="E56" s="57">
        <v>1829</v>
      </c>
      <c r="G56" s="240"/>
      <c r="H56" s="98">
        <v>1545</v>
      </c>
      <c r="I56" s="98">
        <f t="shared" si="2"/>
        <v>1829</v>
      </c>
      <c r="J56" s="48"/>
      <c r="K56" s="48">
        <v>1204995</v>
      </c>
      <c r="L56" s="48">
        <f t="shared" si="3"/>
        <v>1347185</v>
      </c>
      <c r="M56" s="48"/>
      <c r="N56" s="48">
        <f t="shared" si="8"/>
        <v>1282.1629965269565</v>
      </c>
      <c r="O56" s="48">
        <f t="shared" si="8"/>
        <v>1357.6457576353655</v>
      </c>
      <c r="P56" s="48"/>
      <c r="Q56" s="48">
        <f t="shared" si="5"/>
        <v>75.482761108409022</v>
      </c>
      <c r="R56" s="48"/>
      <c r="S56" s="48">
        <v>12868</v>
      </c>
      <c r="T56" s="48">
        <v>13909</v>
      </c>
      <c r="U56" s="48"/>
      <c r="V56" s="48">
        <f t="shared" si="0"/>
        <v>1282.1629965269565</v>
      </c>
      <c r="W56" s="48">
        <f t="shared" si="6"/>
        <v>1404.2473265544552</v>
      </c>
      <c r="X56" s="48"/>
      <c r="Y56" s="48">
        <f t="shared" si="1"/>
        <v>122.08433002749871</v>
      </c>
    </row>
    <row r="57" spans="1:25" x14ac:dyDescent="0.25">
      <c r="A57" s="25" t="s">
        <v>232</v>
      </c>
      <c r="B57" s="85">
        <f t="shared" si="7"/>
        <v>98.108468723020167</v>
      </c>
      <c r="D57" s="57">
        <v>925846</v>
      </c>
      <c r="E57" s="57">
        <v>1090</v>
      </c>
      <c r="G57" s="240"/>
      <c r="H57" s="98">
        <v>860</v>
      </c>
      <c r="I57" s="98">
        <f t="shared" si="2"/>
        <v>1090</v>
      </c>
      <c r="J57" s="48"/>
      <c r="K57" s="48">
        <v>895087</v>
      </c>
      <c r="L57" s="48">
        <f t="shared" si="3"/>
        <v>925846</v>
      </c>
      <c r="M57" s="48"/>
      <c r="N57" s="48">
        <f t="shared" si="8"/>
        <v>960.80045850291651</v>
      </c>
      <c r="O57" s="48">
        <f t="shared" si="8"/>
        <v>1177.301624676242</v>
      </c>
      <c r="P57" s="48"/>
      <c r="Q57" s="48">
        <f t="shared" si="5"/>
        <v>216.50116617332549</v>
      </c>
      <c r="R57" s="48"/>
      <c r="S57" s="48">
        <v>6872</v>
      </c>
      <c r="T57" s="48">
        <v>7227</v>
      </c>
      <c r="U57" s="48"/>
      <c r="V57" s="48">
        <f t="shared" si="0"/>
        <v>960.8004585029164</v>
      </c>
      <c r="W57" s="48">
        <f t="shared" si="6"/>
        <v>1157.9407677293684</v>
      </c>
      <c r="X57" s="48"/>
      <c r="Y57" s="48">
        <f t="shared" si="1"/>
        <v>197.14030922645202</v>
      </c>
    </row>
    <row r="58" spans="1:25" x14ac:dyDescent="0.25">
      <c r="A58" s="25" t="s">
        <v>233</v>
      </c>
      <c r="B58" s="85">
        <f t="shared" si="7"/>
        <v>100.59780095956035</v>
      </c>
      <c r="D58" s="57">
        <v>1273222</v>
      </c>
      <c r="E58" s="57">
        <v>1537</v>
      </c>
      <c r="G58" s="240"/>
      <c r="H58" s="98">
        <v>1013</v>
      </c>
      <c r="I58" s="98">
        <f t="shared" si="2"/>
        <v>1537</v>
      </c>
      <c r="J58" s="48"/>
      <c r="K58" s="48">
        <v>1116145</v>
      </c>
      <c r="L58" s="48">
        <f t="shared" si="3"/>
        <v>1273222</v>
      </c>
      <c r="M58" s="48"/>
      <c r="N58" s="48">
        <f t="shared" si="8"/>
        <v>907.58817178771574</v>
      </c>
      <c r="O58" s="48">
        <f t="shared" si="8"/>
        <v>1207.1736115147241</v>
      </c>
      <c r="P58" s="48"/>
      <c r="Q58" s="48">
        <f t="shared" si="5"/>
        <v>299.58543972700841</v>
      </c>
      <c r="R58" s="48"/>
      <c r="S58" s="48">
        <v>9740</v>
      </c>
      <c r="T58" s="48">
        <v>11758</v>
      </c>
      <c r="U58" s="48"/>
      <c r="V58" s="48">
        <f t="shared" si="0"/>
        <v>907.58817178771574</v>
      </c>
      <c r="W58" s="48">
        <f t="shared" si="6"/>
        <v>1140.7191973948622</v>
      </c>
      <c r="X58" s="48"/>
      <c r="Y58" s="48">
        <f t="shared" si="1"/>
        <v>233.13102560714651</v>
      </c>
    </row>
    <row r="59" spans="1:25" x14ac:dyDescent="0.25">
      <c r="A59" s="25" t="s">
        <v>234</v>
      </c>
      <c r="B59" s="85">
        <f t="shared" si="7"/>
        <v>112.97786777871211</v>
      </c>
      <c r="D59" s="57">
        <v>291355</v>
      </c>
      <c r="E59" s="57">
        <v>395</v>
      </c>
      <c r="G59" s="240"/>
      <c r="H59" s="98">
        <v>318</v>
      </c>
      <c r="I59" s="98">
        <f t="shared" si="2"/>
        <v>395</v>
      </c>
      <c r="J59" s="48"/>
      <c r="K59" s="48">
        <v>274880</v>
      </c>
      <c r="L59" s="48">
        <f t="shared" si="3"/>
        <v>291355</v>
      </c>
      <c r="M59" s="48"/>
      <c r="N59" s="48">
        <f t="shared" si="8"/>
        <v>1156.8684516880094</v>
      </c>
      <c r="O59" s="48">
        <f t="shared" si="8"/>
        <v>1355.7344133445454</v>
      </c>
      <c r="P59" s="48"/>
      <c r="Q59" s="48">
        <f t="shared" si="5"/>
        <v>198.865961656536</v>
      </c>
      <c r="R59" s="48"/>
      <c r="S59" s="48">
        <v>2849</v>
      </c>
      <c r="T59" s="48">
        <v>2955</v>
      </c>
      <c r="U59" s="48"/>
      <c r="V59" s="48">
        <f t="shared" si="0"/>
        <v>1156.8684516880091</v>
      </c>
      <c r="W59" s="48">
        <f t="shared" si="6"/>
        <v>1385.4438127992846</v>
      </c>
      <c r="X59" s="48"/>
      <c r="Y59" s="48">
        <f t="shared" si="1"/>
        <v>228.57536111127547</v>
      </c>
    </row>
    <row r="60" spans="1:25" x14ac:dyDescent="0.25">
      <c r="A60" s="60" t="s">
        <v>235</v>
      </c>
      <c r="B60" s="85">
        <f t="shared" si="7"/>
        <v>144.63150662112037</v>
      </c>
      <c r="D60" s="57">
        <v>20060175</v>
      </c>
      <c r="E60" s="57">
        <v>34816</v>
      </c>
      <c r="G60" s="240"/>
      <c r="H60" s="98">
        <v>22432</v>
      </c>
      <c r="I60" s="98">
        <f t="shared" si="2"/>
        <v>34816</v>
      </c>
      <c r="J60" s="48"/>
      <c r="K60" s="48">
        <v>18597100</v>
      </c>
      <c r="L60" s="48">
        <f t="shared" si="3"/>
        <v>20060175</v>
      </c>
      <c r="M60" s="48"/>
      <c r="N60" s="48">
        <f t="shared" si="8"/>
        <v>1206.2095703093494</v>
      </c>
      <c r="O60" s="48">
        <f t="shared" si="8"/>
        <v>1735.5780794534444</v>
      </c>
      <c r="P60" s="48"/>
      <c r="Q60" s="48">
        <f t="shared" si="5"/>
        <v>529.36850914409501</v>
      </c>
      <c r="R60" s="48"/>
      <c r="S60" s="48">
        <v>143323</v>
      </c>
      <c r="T60" s="48">
        <v>140734</v>
      </c>
      <c r="U60" s="48"/>
      <c r="V60" s="48">
        <f t="shared" si="0"/>
        <v>1206.2095703093494</v>
      </c>
      <c r="W60" s="48">
        <f t="shared" si="6"/>
        <v>1906.5601260561043</v>
      </c>
      <c r="X60" s="48"/>
      <c r="Y60" s="48">
        <f t="shared" si="1"/>
        <v>700.35055574675494</v>
      </c>
    </row>
    <row r="61" spans="1:25" x14ac:dyDescent="0.25">
      <c r="A61" s="25" t="s">
        <v>236</v>
      </c>
      <c r="B61" s="85">
        <f t="shared" si="7"/>
        <v>150.83636165814139</v>
      </c>
      <c r="D61" s="57">
        <v>14730091</v>
      </c>
      <c r="E61" s="57">
        <v>26662</v>
      </c>
      <c r="G61" s="240"/>
      <c r="H61" s="98">
        <v>16764</v>
      </c>
      <c r="I61" s="98">
        <f t="shared" si="2"/>
        <v>26662</v>
      </c>
      <c r="J61" s="48"/>
      <c r="K61" s="48">
        <v>13707126</v>
      </c>
      <c r="L61" s="48">
        <f t="shared" si="3"/>
        <v>14730091</v>
      </c>
      <c r="M61" s="48"/>
      <c r="N61" s="48">
        <f t="shared" si="8"/>
        <v>1223.0134894798516</v>
      </c>
      <c r="O61" s="48">
        <f t="shared" si="8"/>
        <v>1810.0363398976965</v>
      </c>
      <c r="P61" s="48"/>
      <c r="Q61" s="48">
        <f t="shared" si="5"/>
        <v>587.02285041784489</v>
      </c>
      <c r="R61" s="48"/>
      <c r="S61" s="48">
        <v>87524</v>
      </c>
      <c r="T61" s="48">
        <v>81948</v>
      </c>
      <c r="U61" s="48"/>
      <c r="V61" s="48">
        <f t="shared" si="0"/>
        <v>1223.0134894798516</v>
      </c>
      <c r="W61" s="48">
        <f t="shared" si="6"/>
        <v>2077.471706834473</v>
      </c>
      <c r="X61" s="48"/>
      <c r="Y61" s="48">
        <f t="shared" si="1"/>
        <v>854.45821735462141</v>
      </c>
    </row>
    <row r="62" spans="1:25" x14ac:dyDescent="0.25">
      <c r="A62" s="25" t="s">
        <v>237</v>
      </c>
      <c r="B62" s="85">
        <f t="shared" si="7"/>
        <v>133.29771716485484</v>
      </c>
      <c r="D62" s="57">
        <v>1901758</v>
      </c>
      <c r="E62" s="57">
        <v>3042</v>
      </c>
      <c r="G62" s="240"/>
      <c r="H62" s="98">
        <v>2124</v>
      </c>
      <c r="I62" s="98">
        <f t="shared" si="2"/>
        <v>3042</v>
      </c>
      <c r="J62" s="48"/>
      <c r="K62" s="48">
        <v>1763783</v>
      </c>
      <c r="L62" s="48">
        <f t="shared" si="3"/>
        <v>1901758</v>
      </c>
      <c r="M62" s="48"/>
      <c r="N62" s="48">
        <f t="shared" si="8"/>
        <v>1204.2297720297793</v>
      </c>
      <c r="O62" s="48">
        <f t="shared" si="8"/>
        <v>1599.572605978258</v>
      </c>
      <c r="P62" s="48"/>
      <c r="Q62" s="48">
        <f t="shared" si="5"/>
        <v>395.34283394847876</v>
      </c>
      <c r="R62" s="48"/>
      <c r="S62" s="48">
        <v>19286</v>
      </c>
      <c r="T62" s="48">
        <v>19796</v>
      </c>
      <c r="U62" s="48"/>
      <c r="V62" s="48">
        <f t="shared" si="0"/>
        <v>1204.229772029779</v>
      </c>
      <c r="W62" s="48">
        <f t="shared" si="6"/>
        <v>1680.2688438123557</v>
      </c>
      <c r="X62" s="48"/>
      <c r="Y62" s="48">
        <f t="shared" si="1"/>
        <v>476.03907178257668</v>
      </c>
    </row>
    <row r="63" spans="1:25" x14ac:dyDescent="0.25">
      <c r="A63" s="25" t="s">
        <v>238</v>
      </c>
      <c r="B63" s="85">
        <f t="shared" si="7"/>
        <v>124.23458757033802</v>
      </c>
      <c r="D63" s="57">
        <v>3428326</v>
      </c>
      <c r="E63" s="57">
        <v>5111</v>
      </c>
      <c r="G63" s="240"/>
      <c r="H63" s="98">
        <v>3545</v>
      </c>
      <c r="I63" s="98">
        <f t="shared" si="2"/>
        <v>5111</v>
      </c>
      <c r="J63" s="48"/>
      <c r="K63" s="48">
        <v>3126191</v>
      </c>
      <c r="L63" s="48">
        <f t="shared" si="3"/>
        <v>3428326</v>
      </c>
      <c r="M63" s="48"/>
      <c r="N63" s="48">
        <f t="shared" si="8"/>
        <v>1133.9678221836093</v>
      </c>
      <c r="O63" s="48">
        <f t="shared" si="8"/>
        <v>1490.8150508440563</v>
      </c>
      <c r="P63" s="48"/>
      <c r="Q63" s="48">
        <f t="shared" si="5"/>
        <v>356.84722866044694</v>
      </c>
      <c r="R63" s="48"/>
      <c r="S63" s="48">
        <v>36512</v>
      </c>
      <c r="T63" s="48">
        <v>38990</v>
      </c>
      <c r="U63" s="48"/>
      <c r="V63" s="48">
        <f t="shared" si="0"/>
        <v>1133.9678221836095</v>
      </c>
      <c r="W63" s="48">
        <f t="shared" si="6"/>
        <v>1530.9914313464033</v>
      </c>
      <c r="X63" s="48"/>
      <c r="Y63" s="48">
        <f t="shared" si="1"/>
        <v>397.02360916279372</v>
      </c>
    </row>
    <row r="64" spans="1:25" x14ac:dyDescent="0.25">
      <c r="A64" s="60" t="s">
        <v>239</v>
      </c>
      <c r="B64" s="85">
        <f t="shared" si="7"/>
        <v>182.14586585150047</v>
      </c>
      <c r="D64" s="57">
        <v>755347</v>
      </c>
      <c r="E64" s="57">
        <v>1651</v>
      </c>
      <c r="G64" s="240"/>
      <c r="H64" s="98">
        <v>1327</v>
      </c>
      <c r="I64" s="98">
        <f t="shared" si="2"/>
        <v>1651</v>
      </c>
      <c r="J64" s="48"/>
      <c r="K64" s="48">
        <v>727644</v>
      </c>
      <c r="L64" s="48">
        <f t="shared" si="3"/>
        <v>755347</v>
      </c>
      <c r="M64" s="48"/>
      <c r="N64" s="48">
        <f t="shared" si="8"/>
        <v>1823.6940042108504</v>
      </c>
      <c r="O64" s="48">
        <f t="shared" si="8"/>
        <v>2185.7503902180056</v>
      </c>
      <c r="P64" s="48"/>
      <c r="Q64" s="48">
        <f t="shared" si="5"/>
        <v>362.0563860071552</v>
      </c>
      <c r="R64" s="48"/>
      <c r="S64" s="48">
        <v>4688</v>
      </c>
      <c r="T64" s="48">
        <v>4799</v>
      </c>
      <c r="U64" s="48"/>
      <c r="V64" s="48">
        <f t="shared" si="0"/>
        <v>1823.6940042108502</v>
      </c>
      <c r="W64" s="48">
        <f t="shared" si="6"/>
        <v>2216.4859042417793</v>
      </c>
      <c r="X64" s="48"/>
      <c r="Y64" s="48">
        <f t="shared" si="1"/>
        <v>392.79190003092913</v>
      </c>
    </row>
    <row r="65" spans="1:25" x14ac:dyDescent="0.25">
      <c r="A65" s="25" t="s">
        <v>240</v>
      </c>
      <c r="B65" s="85">
        <f t="shared" si="7"/>
        <v>145.97241639736802</v>
      </c>
      <c r="D65" s="57">
        <v>305423</v>
      </c>
      <c r="E65" s="57">
        <v>535</v>
      </c>
      <c r="G65" s="240"/>
      <c r="H65" s="98">
        <v>442</v>
      </c>
      <c r="I65" s="98">
        <f t="shared" si="2"/>
        <v>535</v>
      </c>
      <c r="J65" s="48"/>
      <c r="K65" s="48">
        <v>289292</v>
      </c>
      <c r="L65" s="48">
        <f t="shared" si="3"/>
        <v>305423</v>
      </c>
      <c r="M65" s="48"/>
      <c r="N65" s="48">
        <f t="shared" si="8"/>
        <v>1527.8680364476031</v>
      </c>
      <c r="O65" s="48">
        <f t="shared" si="8"/>
        <v>1751.6689967684163</v>
      </c>
      <c r="P65" s="48"/>
      <c r="Q65" s="48">
        <f t="shared" si="5"/>
        <v>223.80096032081315</v>
      </c>
      <c r="R65" s="48"/>
      <c r="S65" s="48">
        <v>1928</v>
      </c>
      <c r="T65" s="48">
        <v>2049</v>
      </c>
      <c r="U65" s="48"/>
      <c r="V65" s="48">
        <f t="shared" si="0"/>
        <v>1527.8680364476031</v>
      </c>
      <c r="W65" s="48">
        <f t="shared" si="6"/>
        <v>1740.1329444834294</v>
      </c>
      <c r="X65" s="48"/>
      <c r="Y65" s="48">
        <f t="shared" si="1"/>
        <v>212.26490803582624</v>
      </c>
    </row>
    <row r="66" spans="1:25" x14ac:dyDescent="0.25">
      <c r="A66" s="25" t="s">
        <v>241</v>
      </c>
      <c r="B66" s="85">
        <f t="shared" si="7"/>
        <v>206.70157626621383</v>
      </c>
      <c r="D66" s="57">
        <v>449924</v>
      </c>
      <c r="E66" s="57">
        <v>1116</v>
      </c>
      <c r="G66" s="240"/>
      <c r="H66" s="98">
        <v>885</v>
      </c>
      <c r="I66" s="98">
        <f t="shared" si="2"/>
        <v>1116</v>
      </c>
      <c r="J66" s="48"/>
      <c r="K66" s="48">
        <v>438352</v>
      </c>
      <c r="L66" s="48">
        <f t="shared" si="3"/>
        <v>449924</v>
      </c>
      <c r="M66" s="48"/>
      <c r="N66" s="48">
        <f t="shared" si="8"/>
        <v>2018.9254297915829</v>
      </c>
      <c r="O66" s="48">
        <f t="shared" si="8"/>
        <v>2480.4189151945661</v>
      </c>
      <c r="P66" s="48"/>
      <c r="Q66" s="48">
        <f t="shared" si="5"/>
        <v>461.4934854029832</v>
      </c>
      <c r="R66" s="48"/>
      <c r="S66" s="48">
        <v>2760</v>
      </c>
      <c r="T66" s="48">
        <v>2750</v>
      </c>
      <c r="U66" s="48"/>
      <c r="V66" s="48">
        <f t="shared" si="0"/>
        <v>2018.9254297915829</v>
      </c>
      <c r="W66" s="48">
        <f t="shared" si="6"/>
        <v>2555.1570012642392</v>
      </c>
      <c r="X66" s="48"/>
      <c r="Y66" s="48">
        <f t="shared" si="1"/>
        <v>536.23157147265624</v>
      </c>
    </row>
    <row r="69" spans="1:25" x14ac:dyDescent="0.25">
      <c r="H69" s="28"/>
    </row>
    <row r="70" spans="1:25" x14ac:dyDescent="0.25">
      <c r="A70" t="s">
        <v>197</v>
      </c>
      <c r="B70" s="28" t="s">
        <v>356</v>
      </c>
    </row>
    <row r="71" spans="1:25" x14ac:dyDescent="0.25">
      <c r="A71"/>
      <c r="B71" s="28" t="s">
        <v>385</v>
      </c>
    </row>
    <row r="72" spans="1:25" x14ac:dyDescent="0.25">
      <c r="A72"/>
      <c r="B72" s="28"/>
    </row>
    <row r="73" spans="1:25" x14ac:dyDescent="0.25">
      <c r="A73" t="s">
        <v>205</v>
      </c>
      <c r="B73" s="28" t="s">
        <v>386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64AB4-6E25-4196-B22C-33CD45CDDB80}">
  <sheetPr>
    <tabColor theme="5" tint="0.59999389629810485"/>
  </sheetPr>
  <dimension ref="A1:BE67"/>
  <sheetViews>
    <sheetView zoomScale="85" zoomScaleNormal="85" workbookViewId="0">
      <selection activeCell="I49" sqref="I49"/>
    </sheetView>
  </sheetViews>
  <sheetFormatPr defaultRowHeight="15" x14ac:dyDescent="0.25"/>
  <cols>
    <col min="1" max="1" width="19.42578125" customWidth="1"/>
    <col min="2" max="5" width="9.28515625" bestFit="1" customWidth="1"/>
    <col min="6" max="8" width="9.7109375" bestFit="1" customWidth="1"/>
    <col min="9" max="9" width="20.5703125" customWidth="1"/>
    <col min="10" max="10" width="9.7109375" customWidth="1"/>
    <col min="11" max="12" width="11.28515625" customWidth="1"/>
    <col min="13" max="13" width="22.85546875" customWidth="1"/>
    <col min="14" max="14" width="11.28515625" customWidth="1"/>
    <col min="15" max="21" width="10.140625" customWidth="1"/>
    <col min="23" max="32" width="13.140625" customWidth="1"/>
    <col min="33" max="33" width="9.7109375" customWidth="1"/>
    <col min="34" max="40" width="11.5703125" customWidth="1"/>
    <col min="41" max="41" width="21.7109375" customWidth="1"/>
    <col min="42" max="42" width="9.42578125" customWidth="1"/>
    <col min="44" max="44" width="24.5703125" style="241" customWidth="1"/>
    <col min="45" max="45" width="11.85546875" customWidth="1"/>
    <col min="46" max="46" width="9.42578125" customWidth="1"/>
    <col min="53" max="53" width="17.28515625" customWidth="1"/>
  </cols>
  <sheetData>
    <row r="1" spans="1:57" x14ac:dyDescent="0.25">
      <c r="A1" s="24" t="s">
        <v>49</v>
      </c>
    </row>
    <row r="2" spans="1:57" x14ac:dyDescent="0.25">
      <c r="A2" t="s">
        <v>50</v>
      </c>
    </row>
    <row r="4" spans="1:57" x14ac:dyDescent="0.25">
      <c r="B4" s="299" t="s">
        <v>387</v>
      </c>
      <c r="C4" s="299"/>
      <c r="D4" s="299"/>
      <c r="E4" s="299"/>
      <c r="F4" s="299"/>
      <c r="G4" s="299"/>
      <c r="H4" s="299"/>
      <c r="I4" s="299"/>
      <c r="K4" s="299" t="s">
        <v>388</v>
      </c>
      <c r="L4" s="299"/>
      <c r="M4" s="299"/>
      <c r="O4" s="299" t="s">
        <v>389</v>
      </c>
      <c r="P4" s="299"/>
      <c r="Q4" s="299"/>
      <c r="R4" s="299"/>
      <c r="S4" s="299"/>
      <c r="T4" s="299"/>
      <c r="U4" s="299"/>
      <c r="W4" s="299" t="s">
        <v>390</v>
      </c>
      <c r="X4" s="299"/>
      <c r="Y4" s="299"/>
      <c r="Z4" s="299"/>
      <c r="AA4" s="299"/>
      <c r="AB4" s="299"/>
      <c r="AC4" s="299"/>
      <c r="AE4" s="299" t="s">
        <v>376</v>
      </c>
      <c r="AF4" s="299"/>
      <c r="AH4" s="299" t="s">
        <v>391</v>
      </c>
      <c r="AI4" s="299"/>
      <c r="AJ4" s="299"/>
      <c r="AK4" s="299"/>
      <c r="AL4" s="299"/>
      <c r="AM4" s="299"/>
      <c r="AN4" s="299"/>
      <c r="AO4" s="299"/>
      <c r="AR4" s="300" t="s">
        <v>392</v>
      </c>
      <c r="AS4" s="300"/>
      <c r="AT4" s="300"/>
      <c r="AU4" s="300"/>
      <c r="AV4" s="300"/>
      <c r="AW4" s="300"/>
      <c r="AX4" s="300"/>
      <c r="AY4" s="300"/>
      <c r="AZ4" s="300"/>
      <c r="BA4" s="300"/>
    </row>
    <row r="5" spans="1:57" ht="15" customHeight="1" x14ac:dyDescent="0.25">
      <c r="A5" s="33"/>
      <c r="B5" s="33">
        <v>2019</v>
      </c>
      <c r="C5" s="33">
        <v>2020</v>
      </c>
      <c r="D5" s="33">
        <v>2021</v>
      </c>
      <c r="E5" s="33">
        <v>2022</v>
      </c>
      <c r="F5" s="33">
        <v>2023</v>
      </c>
      <c r="G5" s="33">
        <v>2024</v>
      </c>
      <c r="H5" s="27" t="s">
        <v>393</v>
      </c>
      <c r="I5" s="27" t="s">
        <v>394</v>
      </c>
      <c r="J5" s="27"/>
      <c r="K5" s="27" t="s">
        <v>334</v>
      </c>
      <c r="L5" s="27" t="s">
        <v>335</v>
      </c>
      <c r="M5" s="27" t="s">
        <v>395</v>
      </c>
      <c r="N5" s="27"/>
      <c r="O5" s="33">
        <v>2019</v>
      </c>
      <c r="P5" s="33">
        <v>2020</v>
      </c>
      <c r="Q5" s="33">
        <v>2021</v>
      </c>
      <c r="R5" s="33">
        <v>2022</v>
      </c>
      <c r="S5" s="33">
        <v>2023</v>
      </c>
      <c r="T5" s="33">
        <v>2024</v>
      </c>
      <c r="U5" s="33">
        <v>2025</v>
      </c>
      <c r="V5" s="33"/>
      <c r="W5" s="33">
        <v>2019</v>
      </c>
      <c r="X5" s="33">
        <v>2020</v>
      </c>
      <c r="Y5" s="33">
        <v>2021</v>
      </c>
      <c r="Z5" s="33">
        <v>2022</v>
      </c>
      <c r="AA5" s="33">
        <v>2023</v>
      </c>
      <c r="AB5" s="33">
        <v>2024</v>
      </c>
      <c r="AC5" s="33">
        <v>2025</v>
      </c>
      <c r="AD5" s="33"/>
      <c r="AE5" s="33">
        <v>2019</v>
      </c>
      <c r="AF5" s="33">
        <v>2025</v>
      </c>
      <c r="AG5" s="33"/>
      <c r="AH5" s="33">
        <v>2019</v>
      </c>
      <c r="AI5" s="33">
        <v>2020</v>
      </c>
      <c r="AJ5" s="33">
        <v>2021</v>
      </c>
      <c r="AK5" s="33">
        <v>2022</v>
      </c>
      <c r="AL5" s="33">
        <v>2023</v>
      </c>
      <c r="AM5" s="33">
        <v>2024</v>
      </c>
      <c r="AN5" s="33">
        <v>2025</v>
      </c>
      <c r="AO5" s="27" t="s">
        <v>396</v>
      </c>
      <c r="AP5" s="25"/>
      <c r="AQ5" s="248"/>
      <c r="AR5" s="242"/>
      <c r="AS5" s="33">
        <v>2019</v>
      </c>
      <c r="AT5" s="33">
        <v>2020</v>
      </c>
      <c r="AU5" s="33">
        <v>2021</v>
      </c>
      <c r="AV5" s="33">
        <v>2022</v>
      </c>
      <c r="AW5" s="33">
        <v>2023</v>
      </c>
      <c r="AX5" s="33">
        <v>2024</v>
      </c>
      <c r="AY5" s="27" t="s">
        <v>393</v>
      </c>
      <c r="AZ5" s="243"/>
      <c r="BA5" s="244" t="s">
        <v>397</v>
      </c>
      <c r="BC5" s="245"/>
      <c r="BD5" s="245"/>
      <c r="BE5" s="245"/>
    </row>
    <row r="6" spans="1:57" x14ac:dyDescent="0.25">
      <c r="A6" t="s">
        <v>398</v>
      </c>
      <c r="B6" s="47">
        <f t="shared" ref="B6:B37" si="0">AH6/_xlfn.XLOOKUP($A6,$AR:$AR,AS:AS)</f>
        <v>2.0172526618752202E-2</v>
      </c>
      <c r="C6" s="47">
        <f t="shared" ref="C6:C37" si="1">AI6/_xlfn.XLOOKUP($A6,$AR:$AR,AT:AT)</f>
        <v>2.0725959464820417E-2</v>
      </c>
      <c r="D6" s="47">
        <f t="shared" ref="D6:D37" si="2">AJ6/_xlfn.XLOOKUP($A6,$AR:$AR,AU:AU)</f>
        <v>2.0515273858127063E-2</v>
      </c>
      <c r="E6" s="47">
        <f t="shared" ref="E6:E37" si="3">AK6/_xlfn.XLOOKUP($A6,$AR:$AR,AV:AV)</f>
        <v>2.1762521097605562E-2</v>
      </c>
      <c r="F6" s="47">
        <f t="shared" ref="F6:F37" si="4">AL6/_xlfn.XLOOKUP($A6,$AR:$AR,AW:AW)</f>
        <v>2.0370290661271606E-2</v>
      </c>
      <c r="G6" s="47">
        <f t="shared" ref="G6:G37" si="5">AM6/_xlfn.XLOOKUP($A6,$AR:$AR,AX:AX)</f>
        <v>2.0388632391610446E-2</v>
      </c>
      <c r="H6" s="47">
        <f t="shared" ref="H6:H37" si="6">AN6/_xlfn.XLOOKUP($A6,$AR:$AR,AY:AY)</f>
        <v>2.0922896577089248E-2</v>
      </c>
      <c r="I6" s="47">
        <f>AO6/_xlfn.XLOOKUP($A6,$AR:$AR,AY:AY)</f>
        <v>2.1148000172641838E-2</v>
      </c>
      <c r="J6" s="47"/>
      <c r="K6" s="47">
        <f>G6-B6</f>
        <v>2.1610577285824384E-4</v>
      </c>
      <c r="L6" s="47">
        <f t="shared" ref="L6:L57" si="7">H6-B6</f>
        <v>7.5036995833704587E-4</v>
      </c>
      <c r="M6" s="47">
        <f>I6-B6</f>
        <v>9.7547355388963655E-4</v>
      </c>
      <c r="N6" s="47"/>
      <c r="O6" s="48">
        <v>187436</v>
      </c>
      <c r="P6" s="48">
        <v>192663</v>
      </c>
      <c r="Q6" s="48">
        <v>200834</v>
      </c>
      <c r="R6" s="48">
        <v>226990</v>
      </c>
      <c r="S6" s="48">
        <v>231993</v>
      </c>
      <c r="T6" s="48">
        <v>244367</v>
      </c>
      <c r="U6" s="48">
        <v>262079</v>
      </c>
      <c r="V6" s="48"/>
      <c r="W6" s="48">
        <v>135249595</v>
      </c>
      <c r="X6" s="48">
        <v>136681866</v>
      </c>
      <c r="Y6" s="48">
        <v>138308656</v>
      </c>
      <c r="Z6" s="48">
        <v>139854080</v>
      </c>
      <c r="AA6" s="48">
        <v>141282618</v>
      </c>
      <c r="AB6" s="48">
        <v>143144073</v>
      </c>
      <c r="AC6" s="48">
        <v>143795221</v>
      </c>
      <c r="AD6" s="48"/>
      <c r="AE6" s="48">
        <v>1440289</v>
      </c>
      <c r="AF6" s="48">
        <v>1514993</v>
      </c>
      <c r="AG6" s="48"/>
      <c r="AH6" s="48">
        <f>O6*1000000/W6</f>
        <v>1385.8525787082763</v>
      </c>
      <c r="AI6" s="48">
        <f t="shared" ref="AH6:AN37" si="8">P6*1000000/X6</f>
        <v>1409.5725032024366</v>
      </c>
      <c r="AJ6" s="48">
        <f t="shared" si="8"/>
        <v>1452.0710836782334</v>
      </c>
      <c r="AK6" s="48">
        <f t="shared" si="8"/>
        <v>1623.0488234594229</v>
      </c>
      <c r="AL6" s="48">
        <f t="shared" si="8"/>
        <v>1642.0491302051041</v>
      </c>
      <c r="AM6" s="48">
        <f t="shared" si="8"/>
        <v>1707.1401901495426</v>
      </c>
      <c r="AN6" s="48">
        <f>U6*1000000/AC6</f>
        <v>1822.5849105235563</v>
      </c>
      <c r="AO6" s="48">
        <f>U6/AF6*AE6/W6*1000000</f>
        <v>1842.1935920962596</v>
      </c>
      <c r="AP6" s="48"/>
      <c r="AQ6" s="249"/>
      <c r="AR6" s="246" t="s">
        <v>398</v>
      </c>
      <c r="AS6" s="245">
        <v>68700</v>
      </c>
      <c r="AT6" s="245">
        <v>68010</v>
      </c>
      <c r="AU6" s="245">
        <v>70780</v>
      </c>
      <c r="AV6" s="245">
        <v>74580</v>
      </c>
      <c r="AW6" s="245">
        <v>80610</v>
      </c>
      <c r="AX6" s="245">
        <v>83730</v>
      </c>
      <c r="AY6" s="245">
        <f>AX6*(1+BA6)</f>
        <v>87109.588474442033</v>
      </c>
      <c r="AZ6" s="245"/>
      <c r="BA6" s="46">
        <f>(AX6/AS6)^(1/5)-1</f>
        <v>4.0362934126860539E-2</v>
      </c>
      <c r="BB6" s="247"/>
      <c r="BC6" s="245"/>
      <c r="BD6" s="245"/>
      <c r="BE6" s="245"/>
    </row>
    <row r="7" spans="1:57" x14ac:dyDescent="0.25">
      <c r="A7" t="s">
        <v>168</v>
      </c>
      <c r="B7" s="47">
        <f t="shared" si="0"/>
        <v>2.0721464508339203E-2</v>
      </c>
      <c r="C7" s="47">
        <f t="shared" si="1"/>
        <v>2.4407821442067962E-2</v>
      </c>
      <c r="D7" s="47">
        <f t="shared" si="2"/>
        <v>2.3149732420217829E-2</v>
      </c>
      <c r="E7" s="47">
        <f t="shared" si="3"/>
        <v>2.3288703974532182E-2</v>
      </c>
      <c r="F7" s="47">
        <f t="shared" si="4"/>
        <v>2.6373815865237203E-2</v>
      </c>
      <c r="G7" s="47">
        <f t="shared" si="5"/>
        <v>2.4141043846198144E-2</v>
      </c>
      <c r="H7" s="47">
        <f t="shared" si="6"/>
        <v>2.4416426033322541E-2</v>
      </c>
      <c r="I7" s="47">
        <f>AO7/_xlfn.XLOOKUP($A7,$AR:$AR,AY:AY)</f>
        <v>2.3858090104204869E-2</v>
      </c>
      <c r="J7" s="47"/>
      <c r="K7" s="47">
        <f>G7-B7</f>
        <v>3.4195793378589412E-3</v>
      </c>
      <c r="L7" s="47">
        <f t="shared" si="7"/>
        <v>3.6949615249833381E-3</v>
      </c>
      <c r="M7" s="47">
        <f t="shared" ref="M7:M57" si="9">I7-B7</f>
        <v>3.1366255958656664E-3</v>
      </c>
      <c r="N7" s="47"/>
      <c r="O7" s="48">
        <v>2733</v>
      </c>
      <c r="P7" s="48">
        <v>2949</v>
      </c>
      <c r="Q7" s="48">
        <v>2868</v>
      </c>
      <c r="R7" s="48">
        <v>3246</v>
      </c>
      <c r="S7" s="48">
        <v>3751</v>
      </c>
      <c r="T7" s="48">
        <v>3720</v>
      </c>
      <c r="U7" s="48">
        <v>3924</v>
      </c>
      <c r="V7" s="48"/>
      <c r="W7" s="48">
        <v>1510966</v>
      </c>
      <c r="X7" s="48">
        <v>1521112</v>
      </c>
      <c r="Y7" s="48">
        <v>1530251</v>
      </c>
      <c r="Z7" s="48">
        <v>1536216</v>
      </c>
      <c r="AA7" s="48">
        <v>1541895</v>
      </c>
      <c r="AB7" s="48">
        <v>1552745</v>
      </c>
      <c r="AC7" s="48">
        <v>1578395</v>
      </c>
      <c r="AD7" s="48"/>
      <c r="AE7" s="48">
        <v>12494</v>
      </c>
      <c r="AF7" s="48">
        <v>13357</v>
      </c>
      <c r="AG7" s="48"/>
      <c r="AH7" s="48">
        <f t="shared" si="8"/>
        <v>1808.776636932929</v>
      </c>
      <c r="AI7" s="48">
        <f t="shared" si="8"/>
        <v>1938.7132571434581</v>
      </c>
      <c r="AJ7" s="48">
        <f t="shared" si="8"/>
        <v>1874.2023367408353</v>
      </c>
      <c r="AK7" s="48">
        <f t="shared" si="8"/>
        <v>2112.9841116093048</v>
      </c>
      <c r="AL7" s="48">
        <f t="shared" si="8"/>
        <v>2432.7207754094798</v>
      </c>
      <c r="AM7" s="48">
        <f t="shared" si="8"/>
        <v>2395.7571912967037</v>
      </c>
      <c r="AN7" s="48">
        <f t="shared" si="8"/>
        <v>2486.0697100535672</v>
      </c>
      <c r="AO7" s="48">
        <f t="shared" ref="AO7:AO57" si="10">U7/AF7*AE7/W7*1000000</f>
        <v>2429.2201924575156</v>
      </c>
      <c r="AP7" s="48"/>
      <c r="AQ7" s="249"/>
      <c r="AR7" s="246" t="s">
        <v>217</v>
      </c>
      <c r="AS7" s="245">
        <v>56200</v>
      </c>
      <c r="AT7" s="245">
        <v>54690</v>
      </c>
      <c r="AU7" s="245">
        <v>56930</v>
      </c>
      <c r="AV7" s="245">
        <v>59910</v>
      </c>
      <c r="AW7" s="245">
        <v>60660</v>
      </c>
      <c r="AX7" s="245">
        <v>65560</v>
      </c>
      <c r="AY7" s="245">
        <f t="shared" ref="AY7:AY57" si="11">AX7*(1+BA7)</f>
        <v>67611.328696150493</v>
      </c>
      <c r="AZ7" s="245"/>
      <c r="BA7" s="46">
        <f t="shared" ref="BA7:BA57" si="12">(AX7/AS7)^(1/5)-1</f>
        <v>3.1289333376304018E-2</v>
      </c>
      <c r="BB7" s="247"/>
      <c r="BC7" s="245"/>
      <c r="BD7" s="245"/>
      <c r="BE7" s="245"/>
    </row>
    <row r="8" spans="1:57" x14ac:dyDescent="0.25">
      <c r="A8" t="s">
        <v>169</v>
      </c>
      <c r="B8" s="47">
        <f t="shared" si="0"/>
        <v>1.8136340146315388E-2</v>
      </c>
      <c r="C8" s="47">
        <f t="shared" si="1"/>
        <v>1.8051989976639784E-2</v>
      </c>
      <c r="D8" s="47">
        <f t="shared" si="2"/>
        <v>1.6781599428356581E-2</v>
      </c>
      <c r="E8" s="47">
        <f t="shared" si="3"/>
        <v>2.0887923592699174E-2</v>
      </c>
      <c r="F8" s="47">
        <f t="shared" si="4"/>
        <v>2.4332938238086379E-2</v>
      </c>
      <c r="G8" s="47">
        <f t="shared" si="5"/>
        <v>1.7663262897474073E-2</v>
      </c>
      <c r="H8" s="47">
        <f t="shared" si="6"/>
        <v>1.8361687616887227E-2</v>
      </c>
      <c r="I8" s="47">
        <f t="shared" ref="I8:I57" si="13">AO8/_xlfn.XLOOKUP($A8,$AR:$AR,AY:AY)</f>
        <v>1.9405118728445976E-2</v>
      </c>
      <c r="J8" s="47"/>
      <c r="K8" s="47">
        <f t="shared" ref="K8:K57" si="14">G8-B8</f>
        <v>-4.7307724884131444E-4</v>
      </c>
      <c r="L8" s="47">
        <f>H8-B8</f>
        <v>2.2534747057183918E-4</v>
      </c>
      <c r="M8" s="47">
        <f t="shared" si="9"/>
        <v>1.2687785821305884E-3</v>
      </c>
      <c r="N8" s="47"/>
      <c r="O8" s="48">
        <v>858</v>
      </c>
      <c r="P8" s="48">
        <v>825</v>
      </c>
      <c r="Q8" s="48">
        <v>862</v>
      </c>
      <c r="R8" s="48">
        <v>1143</v>
      </c>
      <c r="S8" s="48">
        <v>1349</v>
      </c>
      <c r="T8" s="48">
        <v>1190</v>
      </c>
      <c r="U8" s="48">
        <v>1328</v>
      </c>
      <c r="V8" s="48"/>
      <c r="W8" s="48">
        <v>710869</v>
      </c>
      <c r="X8" s="48">
        <v>717559</v>
      </c>
      <c r="Y8" s="48">
        <v>722038</v>
      </c>
      <c r="Z8" s="48">
        <v>728055</v>
      </c>
      <c r="AA8" s="48">
        <v>731968</v>
      </c>
      <c r="AB8" s="48">
        <v>742549</v>
      </c>
      <c r="AC8" s="48">
        <v>749228</v>
      </c>
      <c r="AD8" s="48"/>
      <c r="AE8" s="48">
        <v>4794</v>
      </c>
      <c r="AF8" s="48">
        <v>4781</v>
      </c>
      <c r="AG8" s="48"/>
      <c r="AH8" s="48">
        <f t="shared" si="8"/>
        <v>1206.9734367372891</v>
      </c>
      <c r="AI8" s="48">
        <f t="shared" si="8"/>
        <v>1149.7312416121879</v>
      </c>
      <c r="AJ8" s="48">
        <f t="shared" si="8"/>
        <v>1193.8429833332871</v>
      </c>
      <c r="AK8" s="48">
        <f t="shared" si="8"/>
        <v>1569.9363372272699</v>
      </c>
      <c r="AL8" s="48">
        <f t="shared" si="8"/>
        <v>1842.9767421526624</v>
      </c>
      <c r="AM8" s="48">
        <f t="shared" si="8"/>
        <v>1602.5878426878226</v>
      </c>
      <c r="AN8" s="48">
        <f t="shared" si="8"/>
        <v>1772.4911508913174</v>
      </c>
      <c r="AO8" s="48">
        <f t="shared" si="10"/>
        <v>1873.2156839729944</v>
      </c>
      <c r="AP8" s="48"/>
      <c r="AQ8" s="249"/>
      <c r="AR8" s="246" t="s">
        <v>240</v>
      </c>
      <c r="AS8" s="245">
        <v>78390</v>
      </c>
      <c r="AT8" s="245">
        <v>74750</v>
      </c>
      <c r="AU8" s="245">
        <v>81130</v>
      </c>
      <c r="AV8" s="245">
        <v>89740</v>
      </c>
      <c r="AW8" s="245">
        <v>98190</v>
      </c>
      <c r="AX8" s="245">
        <v>91260</v>
      </c>
      <c r="AY8" s="245">
        <f t="shared" si="11"/>
        <v>94077.208952040673</v>
      </c>
      <c r="AZ8" s="245"/>
      <c r="BA8" s="46">
        <f t="shared" si="12"/>
        <v>3.0870139733077728E-2</v>
      </c>
      <c r="BB8" s="247"/>
      <c r="BC8" s="245"/>
      <c r="BD8" s="245"/>
      <c r="BE8" s="245"/>
    </row>
    <row r="9" spans="1:57" x14ac:dyDescent="0.25">
      <c r="A9" t="s">
        <v>170</v>
      </c>
      <c r="B9" s="47">
        <f t="shared" si="0"/>
        <v>1.7223279021456119E-2</v>
      </c>
      <c r="C9" s="47">
        <f t="shared" si="1"/>
        <v>1.8063202296037126E-2</v>
      </c>
      <c r="D9" s="47">
        <f t="shared" si="2"/>
        <v>1.8903110142034944E-2</v>
      </c>
      <c r="E9" s="47">
        <f t="shared" si="3"/>
        <v>1.9228289398297502E-2</v>
      </c>
      <c r="F9" s="47">
        <f t="shared" si="4"/>
        <v>1.8654409580917776E-2</v>
      </c>
      <c r="G9" s="47">
        <f t="shared" si="5"/>
        <v>1.7616121635681391E-2</v>
      </c>
      <c r="H9" s="47">
        <f t="shared" si="6"/>
        <v>1.829706377245334E-2</v>
      </c>
      <c r="I9" s="47">
        <f t="shared" si="13"/>
        <v>1.7507427812755924E-2</v>
      </c>
      <c r="J9" s="47"/>
      <c r="K9" s="47">
        <f t="shared" si="14"/>
        <v>3.9284261422527222E-4</v>
      </c>
      <c r="L9" s="47">
        <f t="shared" si="7"/>
        <v>1.0737847509972205E-3</v>
      </c>
      <c r="M9" s="47">
        <f>I9-B9</f>
        <v>2.8414879129980489E-4</v>
      </c>
      <c r="N9" s="47"/>
      <c r="O9" s="48">
        <v>4233</v>
      </c>
      <c r="P9" s="48">
        <v>4469</v>
      </c>
      <c r="Q9" s="48">
        <v>4648</v>
      </c>
      <c r="R9" s="48">
        <v>5196</v>
      </c>
      <c r="S9" s="48">
        <v>5734</v>
      </c>
      <c r="T9" s="48">
        <v>5868</v>
      </c>
      <c r="U9" s="48">
        <v>6362</v>
      </c>
      <c r="V9" s="48"/>
      <c r="W9" s="48">
        <v>2802098</v>
      </c>
      <c r="X9" s="48">
        <v>2817550</v>
      </c>
      <c r="Y9" s="48">
        <v>2840308</v>
      </c>
      <c r="Z9" s="48">
        <v>2888582</v>
      </c>
      <c r="AA9" s="48">
        <v>2886201</v>
      </c>
      <c r="AB9" s="48">
        <v>2924530</v>
      </c>
      <c r="AC9" s="48">
        <v>2897301</v>
      </c>
      <c r="AD9" s="48"/>
      <c r="AE9" s="48">
        <v>19315</v>
      </c>
      <c r="AF9" s="48">
        <v>20872</v>
      </c>
      <c r="AG9" s="48"/>
      <c r="AH9" s="48">
        <f t="shared" si="8"/>
        <v>1510.6538029719161</v>
      </c>
      <c r="AI9" s="48">
        <f t="shared" si="8"/>
        <v>1586.1297936150202</v>
      </c>
      <c r="AJ9" s="48">
        <f t="shared" si="8"/>
        <v>1636.4422449959652</v>
      </c>
      <c r="AK9" s="48">
        <f t="shared" si="8"/>
        <v>1798.8064732107312</v>
      </c>
      <c r="AL9" s="48">
        <f t="shared" si="8"/>
        <v>1986.694620367743</v>
      </c>
      <c r="AM9" s="48">
        <f t="shared" si="8"/>
        <v>2006.4762543041104</v>
      </c>
      <c r="AN9" s="48">
        <f t="shared" si="8"/>
        <v>2195.8367459922183</v>
      </c>
      <c r="AO9" s="48">
        <f t="shared" si="10"/>
        <v>2101.0722702367771</v>
      </c>
      <c r="AP9" s="48"/>
      <c r="AQ9" s="249"/>
      <c r="AR9" s="246" t="s">
        <v>227</v>
      </c>
      <c r="AS9" s="245">
        <v>70670</v>
      </c>
      <c r="AT9" s="245">
        <v>67090</v>
      </c>
      <c r="AU9" s="245">
        <v>70820</v>
      </c>
      <c r="AV9" s="245">
        <v>73450</v>
      </c>
      <c r="AW9" s="245">
        <v>82660</v>
      </c>
      <c r="AX9" s="245">
        <v>84700</v>
      </c>
      <c r="AY9" s="245">
        <f t="shared" si="11"/>
        <v>87823.971829712173</v>
      </c>
      <c r="AZ9" s="245"/>
      <c r="BA9" s="46">
        <f t="shared" si="12"/>
        <v>3.6882784294122395E-2</v>
      </c>
      <c r="BB9" s="247"/>
      <c r="BC9" s="245"/>
      <c r="BD9" s="245"/>
      <c r="BE9" s="245"/>
    </row>
    <row r="10" spans="1:57" x14ac:dyDescent="0.25">
      <c r="A10" t="s">
        <v>171</v>
      </c>
      <c r="B10" s="47">
        <f t="shared" si="0"/>
        <v>1.6584502382061061E-2</v>
      </c>
      <c r="C10" s="47">
        <f t="shared" si="1"/>
        <v>1.6202338711444907E-2</v>
      </c>
      <c r="D10" s="47">
        <f t="shared" si="2"/>
        <v>1.6912494423012375E-2</v>
      </c>
      <c r="E10" s="47">
        <f t="shared" si="3"/>
        <v>2.2407460524439034E-2</v>
      </c>
      <c r="F10" s="47">
        <f t="shared" si="4"/>
        <v>2.0497172955740599E-2</v>
      </c>
      <c r="G10" s="47">
        <f t="shared" si="5"/>
        <v>1.5556133613257118E-2</v>
      </c>
      <c r="H10" s="47">
        <f t="shared" si="6"/>
        <v>1.6015396118480442E-2</v>
      </c>
      <c r="I10" s="47">
        <f t="shared" si="13"/>
        <v>1.5005110580462794E-2</v>
      </c>
      <c r="J10" s="47"/>
      <c r="K10" s="47">
        <f t="shared" si="14"/>
        <v>-1.0283687688039424E-3</v>
      </c>
      <c r="L10" s="47">
        <f t="shared" si="7"/>
        <v>-5.6910626358061892E-4</v>
      </c>
      <c r="M10" s="47">
        <f t="shared" si="9"/>
        <v>-1.5793918015982664E-3</v>
      </c>
      <c r="N10" s="47"/>
      <c r="O10" s="48">
        <v>904</v>
      </c>
      <c r="P10" s="48">
        <v>912</v>
      </c>
      <c r="Q10" s="48">
        <v>959</v>
      </c>
      <c r="R10" s="48">
        <v>1224</v>
      </c>
      <c r="S10" s="48">
        <v>1310</v>
      </c>
      <c r="T10" s="48">
        <v>1135</v>
      </c>
      <c r="U10" s="48">
        <v>1239</v>
      </c>
      <c r="V10" s="48"/>
      <c r="W10" s="48">
        <v>627258</v>
      </c>
      <c r="X10" s="48">
        <v>633234</v>
      </c>
      <c r="Y10" s="48">
        <v>638267</v>
      </c>
      <c r="Z10" s="48">
        <v>642870</v>
      </c>
      <c r="AA10" s="48">
        <v>647006</v>
      </c>
      <c r="AB10" s="48">
        <v>652608</v>
      </c>
      <c r="AC10" s="48">
        <v>657972</v>
      </c>
      <c r="AD10" s="48"/>
      <c r="AE10" s="48">
        <v>4507</v>
      </c>
      <c r="AF10" s="48">
        <v>5046</v>
      </c>
      <c r="AG10" s="48"/>
      <c r="AH10" s="48">
        <f t="shared" si="8"/>
        <v>1441.1932570011063</v>
      </c>
      <c r="AI10" s="48">
        <f t="shared" si="8"/>
        <v>1440.2258880603379</v>
      </c>
      <c r="AJ10" s="48">
        <f t="shared" si="8"/>
        <v>1502.5060045404196</v>
      </c>
      <c r="AK10" s="48">
        <f t="shared" si="8"/>
        <v>1903.9619207615847</v>
      </c>
      <c r="AL10" s="48">
        <f t="shared" si="8"/>
        <v>2024.7107445680565</v>
      </c>
      <c r="AM10" s="48">
        <f t="shared" si="8"/>
        <v>1739.1757379621458</v>
      </c>
      <c r="AN10" s="48">
        <f t="shared" si="8"/>
        <v>1883.0588535682371</v>
      </c>
      <c r="AO10" s="48">
        <f t="shared" si="10"/>
        <v>1764.2714621779712</v>
      </c>
      <c r="AP10" s="48"/>
      <c r="AQ10" s="249"/>
      <c r="AR10" s="246" t="s">
        <v>222</v>
      </c>
      <c r="AS10" s="245">
        <v>54540</v>
      </c>
      <c r="AT10" s="245">
        <v>50780</v>
      </c>
      <c r="AU10" s="245">
        <v>50780</v>
      </c>
      <c r="AV10" s="245">
        <v>53980</v>
      </c>
      <c r="AW10" s="245">
        <v>63250</v>
      </c>
      <c r="AX10" s="245">
        <v>64840</v>
      </c>
      <c r="AY10" s="245">
        <f t="shared" si="11"/>
        <v>67122.570651159258</v>
      </c>
      <c r="AZ10" s="245"/>
      <c r="BA10" s="46">
        <f t="shared" si="12"/>
        <v>3.5203125403443281E-2</v>
      </c>
      <c r="BB10" s="247"/>
      <c r="BC10" s="245"/>
      <c r="BD10" s="245"/>
      <c r="BE10" s="245"/>
    </row>
    <row r="11" spans="1:57" x14ac:dyDescent="0.25">
      <c r="A11" t="s">
        <v>172</v>
      </c>
      <c r="B11" s="47">
        <f t="shared" si="0"/>
        <v>2.0794722699869726E-2</v>
      </c>
      <c r="C11" s="47">
        <f t="shared" si="1"/>
        <v>1.9575813731747133E-2</v>
      </c>
      <c r="D11" s="47">
        <f t="shared" si="2"/>
        <v>2.0857613291005717E-2</v>
      </c>
      <c r="E11" s="47">
        <f t="shared" si="3"/>
        <v>2.0334177910876852E-2</v>
      </c>
      <c r="F11" s="47">
        <f t="shared" si="4"/>
        <v>2.1952345912617278E-2</v>
      </c>
      <c r="G11" s="47">
        <f t="shared" si="5"/>
        <v>2.1107803344600235E-2</v>
      </c>
      <c r="H11" s="47">
        <f t="shared" si="6"/>
        <v>2.0364830441603352E-2</v>
      </c>
      <c r="I11" s="47">
        <f t="shared" si="13"/>
        <v>2.028531355131042E-2</v>
      </c>
      <c r="J11" s="47"/>
      <c r="K11" s="47">
        <f t="shared" si="14"/>
        <v>3.1308064473050887E-4</v>
      </c>
      <c r="L11" s="47">
        <f t="shared" si="7"/>
        <v>-4.2989225826637473E-4</v>
      </c>
      <c r="M11" s="47">
        <f t="shared" si="9"/>
        <v>-5.0940914855930608E-4</v>
      </c>
      <c r="N11" s="47"/>
      <c r="O11" s="48">
        <v>648</v>
      </c>
      <c r="P11" s="48">
        <v>693</v>
      </c>
      <c r="Q11" s="48">
        <v>698</v>
      </c>
      <c r="R11" s="48">
        <v>735</v>
      </c>
      <c r="S11" s="48">
        <v>809</v>
      </c>
      <c r="T11" s="48">
        <v>891</v>
      </c>
      <c r="U11" s="48">
        <v>923</v>
      </c>
      <c r="V11" s="48"/>
      <c r="W11" s="48">
        <v>444216</v>
      </c>
      <c r="X11" s="48">
        <v>441572</v>
      </c>
      <c r="Y11" s="48">
        <v>446319</v>
      </c>
      <c r="Z11" s="48">
        <v>448184</v>
      </c>
      <c r="AA11" s="48">
        <v>450190</v>
      </c>
      <c r="AB11" s="48">
        <v>457383</v>
      </c>
      <c r="AC11" s="48">
        <v>464880</v>
      </c>
      <c r="AD11" s="48"/>
      <c r="AE11" s="48">
        <v>2983</v>
      </c>
      <c r="AF11" s="48">
        <v>3134</v>
      </c>
      <c r="AG11" s="48"/>
      <c r="AH11" s="48">
        <f t="shared" si="8"/>
        <v>1458.7497973958614</v>
      </c>
      <c r="AI11" s="48">
        <f t="shared" si="8"/>
        <v>1569.3929868741677</v>
      </c>
      <c r="AJ11" s="48">
        <f t="shared" si="8"/>
        <v>1563.9038445596086</v>
      </c>
      <c r="AK11" s="48">
        <f t="shared" si="8"/>
        <v>1639.9514485122181</v>
      </c>
      <c r="AL11" s="48">
        <f t="shared" si="8"/>
        <v>1797.0190364068505</v>
      </c>
      <c r="AM11" s="48">
        <f t="shared" si="8"/>
        <v>1948.0391706731557</v>
      </c>
      <c r="AN11" s="48">
        <f t="shared" si="8"/>
        <v>1985.4586129753916</v>
      </c>
      <c r="AO11" s="48">
        <f t="shared" si="10"/>
        <v>1977.7061548755396</v>
      </c>
      <c r="AP11" s="48"/>
      <c r="AQ11" s="249"/>
      <c r="AR11" s="246" t="s">
        <v>236</v>
      </c>
      <c r="AS11" s="245">
        <v>78100</v>
      </c>
      <c r="AT11" s="245">
        <v>77650</v>
      </c>
      <c r="AU11" s="245">
        <v>81580</v>
      </c>
      <c r="AV11" s="245">
        <v>85300</v>
      </c>
      <c r="AW11" s="245">
        <v>89870</v>
      </c>
      <c r="AX11" s="245">
        <v>100600</v>
      </c>
      <c r="AY11" s="245">
        <f t="shared" si="11"/>
        <v>105824.77897653286</v>
      </c>
      <c r="AZ11" s="245"/>
      <c r="BA11" s="46">
        <f t="shared" si="12"/>
        <v>5.1936172728954899E-2</v>
      </c>
      <c r="BB11" s="247"/>
      <c r="BC11" s="245"/>
      <c r="BD11" s="245"/>
      <c r="BE11" s="245"/>
    </row>
    <row r="12" spans="1:57" x14ac:dyDescent="0.25">
      <c r="A12" t="s">
        <v>173</v>
      </c>
      <c r="B12" s="47">
        <f t="shared" si="0"/>
        <v>1.5705145440027494E-2</v>
      </c>
      <c r="C12" s="47">
        <f t="shared" si="1"/>
        <v>1.9748641097413352E-2</v>
      </c>
      <c r="D12" s="47">
        <f t="shared" si="2"/>
        <v>1.7240565338859058E-2</v>
      </c>
      <c r="E12" s="47">
        <f t="shared" si="3"/>
        <v>1.8823980512762579E-2</v>
      </c>
      <c r="F12" s="47">
        <f t="shared" si="4"/>
        <v>1.6493412068639652E-2</v>
      </c>
      <c r="G12" s="47">
        <f t="shared" si="5"/>
        <v>1.7667825589134368E-2</v>
      </c>
      <c r="H12" s="47">
        <f t="shared" si="6"/>
        <v>1.8642306109531548E-2</v>
      </c>
      <c r="I12" s="47">
        <f t="shared" si="13"/>
        <v>1.7222603446575703E-2</v>
      </c>
      <c r="J12" s="47"/>
      <c r="K12" s="47">
        <f t="shared" si="14"/>
        <v>1.9626801491068741E-3</v>
      </c>
      <c r="L12" s="47">
        <f t="shared" si="7"/>
        <v>2.9371606695040541E-3</v>
      </c>
      <c r="M12" s="47">
        <f t="shared" si="9"/>
        <v>1.5174580065482092E-3</v>
      </c>
      <c r="N12" s="47"/>
      <c r="O12" s="48">
        <v>369</v>
      </c>
      <c r="P12" s="48">
        <v>421</v>
      </c>
      <c r="Q12" s="48">
        <v>419</v>
      </c>
      <c r="R12" s="48">
        <v>436</v>
      </c>
      <c r="S12" s="48">
        <v>453</v>
      </c>
      <c r="T12" s="48">
        <v>488</v>
      </c>
      <c r="U12" s="48">
        <v>510</v>
      </c>
      <c r="V12" s="48"/>
      <c r="W12" s="48">
        <v>316182</v>
      </c>
      <c r="X12" s="48">
        <v>316948</v>
      </c>
      <c r="Y12" s="48">
        <v>319442</v>
      </c>
      <c r="Z12" s="48">
        <v>320847</v>
      </c>
      <c r="AA12" s="48">
        <v>322403</v>
      </c>
      <c r="AB12" s="48">
        <v>323960</v>
      </c>
      <c r="AC12" s="48">
        <v>312166</v>
      </c>
      <c r="AD12" s="48"/>
      <c r="AE12" s="48">
        <v>2082</v>
      </c>
      <c r="AF12" s="48">
        <v>2225</v>
      </c>
      <c r="AG12" s="48"/>
      <c r="AH12" s="48">
        <f t="shared" si="8"/>
        <v>1167.049357648443</v>
      </c>
      <c r="AI12" s="48">
        <f t="shared" si="8"/>
        <v>1328.2936002120221</v>
      </c>
      <c r="AJ12" s="48">
        <f t="shared" si="8"/>
        <v>1311.662210980397</v>
      </c>
      <c r="AK12" s="48">
        <f t="shared" si="8"/>
        <v>1358.9031532163306</v>
      </c>
      <c r="AL12" s="48">
        <f t="shared" si="8"/>
        <v>1405.073774127412</v>
      </c>
      <c r="AM12" s="48">
        <f t="shared" si="8"/>
        <v>1506.3588097295963</v>
      </c>
      <c r="AN12" s="48">
        <f t="shared" si="8"/>
        <v>1633.7461478828573</v>
      </c>
      <c r="AO12" s="48">
        <f t="shared" si="10"/>
        <v>1509.3283991818394</v>
      </c>
      <c r="AP12" s="48"/>
      <c r="AQ12" s="249"/>
      <c r="AR12" s="246" t="s">
        <v>228</v>
      </c>
      <c r="AS12" s="245">
        <v>72500</v>
      </c>
      <c r="AT12" s="245">
        <v>83780</v>
      </c>
      <c r="AU12" s="245">
        <v>84950</v>
      </c>
      <c r="AV12" s="245">
        <v>89930</v>
      </c>
      <c r="AW12" s="245">
        <v>96640</v>
      </c>
      <c r="AX12" s="245">
        <v>106500</v>
      </c>
      <c r="AY12" s="245">
        <f t="shared" si="11"/>
        <v>115014.32315795484</v>
      </c>
      <c r="AZ12" s="245"/>
      <c r="BA12" s="46">
        <f t="shared" si="12"/>
        <v>7.9946696318824895E-2</v>
      </c>
      <c r="BB12" s="247"/>
      <c r="BC12" s="245"/>
      <c r="BD12" s="245"/>
      <c r="BE12" s="245"/>
    </row>
    <row r="13" spans="1:57" x14ac:dyDescent="0.25">
      <c r="A13" t="s">
        <v>175</v>
      </c>
      <c r="B13" s="47">
        <f t="shared" si="0"/>
        <v>1.4371716659617149E-2</v>
      </c>
      <c r="C13" s="47">
        <f t="shared" si="1"/>
        <v>1.5366470229872026E-2</v>
      </c>
      <c r="D13" s="47">
        <f t="shared" si="2"/>
        <v>1.5228333085352571E-2</v>
      </c>
      <c r="E13" s="47">
        <f t="shared" si="3"/>
        <v>1.4826082708385825E-2</v>
      </c>
      <c r="F13" s="47">
        <f t="shared" si="4"/>
        <v>1.4833948551697703E-2</v>
      </c>
      <c r="G13" s="47">
        <f t="shared" si="5"/>
        <v>1.4856261300903728E-2</v>
      </c>
      <c r="H13" s="47">
        <f t="shared" si="6"/>
        <v>1.6855994954003917E-2</v>
      </c>
      <c r="I13" s="47">
        <f t="shared" si="13"/>
        <v>1.6823711645467618E-2</v>
      </c>
      <c r="J13" s="47"/>
      <c r="K13" s="47">
        <f t="shared" si="14"/>
        <v>4.8454464128657934E-4</v>
      </c>
      <c r="L13" s="47">
        <f t="shared" si="7"/>
        <v>2.4842782943867679E-3</v>
      </c>
      <c r="M13" s="47">
        <f t="shared" si="9"/>
        <v>2.4519949858504697E-3</v>
      </c>
      <c r="N13" s="47"/>
      <c r="O13" s="48">
        <v>4535</v>
      </c>
      <c r="P13" s="48">
        <v>4757</v>
      </c>
      <c r="Q13" s="48">
        <v>4921</v>
      </c>
      <c r="R13" s="48">
        <v>5032</v>
      </c>
      <c r="S13" s="48">
        <v>5031</v>
      </c>
      <c r="T13" s="48">
        <v>5744</v>
      </c>
      <c r="U13" s="48">
        <v>6800</v>
      </c>
      <c r="V13" s="48"/>
      <c r="W13" s="48">
        <v>3596835</v>
      </c>
      <c r="X13" s="48">
        <v>3618587</v>
      </c>
      <c r="Y13" s="48">
        <v>3648912</v>
      </c>
      <c r="Z13" s="48">
        <v>3675567</v>
      </c>
      <c r="AA13" s="48">
        <v>3702964</v>
      </c>
      <c r="AB13" s="48">
        <v>3735636</v>
      </c>
      <c r="AC13" s="48">
        <v>3770993</v>
      </c>
      <c r="AD13" s="48"/>
      <c r="AE13" s="48">
        <v>28613</v>
      </c>
      <c r="AF13" s="48">
        <v>30056</v>
      </c>
      <c r="AG13" s="48"/>
      <c r="AH13" s="48">
        <f t="shared" si="8"/>
        <v>1260.8307025482125</v>
      </c>
      <c r="AI13" s="48">
        <f t="shared" si="8"/>
        <v>1314.6015281655518</v>
      </c>
      <c r="AJ13" s="48">
        <f t="shared" si="8"/>
        <v>1348.6211780388237</v>
      </c>
      <c r="AK13" s="48">
        <f t="shared" si="8"/>
        <v>1369.0404772923471</v>
      </c>
      <c r="AL13" s="48">
        <f t="shared" si="8"/>
        <v>1358.6413478499926</v>
      </c>
      <c r="AM13" s="48">
        <f t="shared" si="8"/>
        <v>1537.6230446435359</v>
      </c>
      <c r="AN13" s="48">
        <f t="shared" si="8"/>
        <v>1803.2385634234802</v>
      </c>
      <c r="AO13" s="48">
        <f t="shared" si="10"/>
        <v>1799.7849252925716</v>
      </c>
      <c r="AP13" s="48"/>
      <c r="AQ13" s="249"/>
      <c r="AR13" s="246" t="s">
        <v>168</v>
      </c>
      <c r="AS13" s="245">
        <v>87290</v>
      </c>
      <c r="AT13" s="245">
        <v>79430</v>
      </c>
      <c r="AU13" s="245">
        <v>80960</v>
      </c>
      <c r="AV13" s="245">
        <v>90730</v>
      </c>
      <c r="AW13" s="245">
        <v>92240</v>
      </c>
      <c r="AX13" s="245">
        <v>99240</v>
      </c>
      <c r="AY13" s="245">
        <f t="shared" si="11"/>
        <v>101819.55813929036</v>
      </c>
      <c r="AZ13" s="245"/>
      <c r="BA13" s="46">
        <f t="shared" si="12"/>
        <v>2.5993129174630702E-2</v>
      </c>
      <c r="BB13" s="247"/>
      <c r="BC13" s="245"/>
      <c r="BD13" s="245"/>
      <c r="BE13" s="245"/>
    </row>
    <row r="14" spans="1:57" x14ac:dyDescent="0.25">
      <c r="A14" t="s">
        <v>176</v>
      </c>
      <c r="B14" s="47">
        <f t="shared" si="0"/>
        <v>1.7302619193357856E-2</v>
      </c>
      <c r="C14" s="47">
        <f t="shared" si="1"/>
        <v>1.9308276979547366E-2</v>
      </c>
      <c r="D14" s="47">
        <f t="shared" si="2"/>
        <v>1.9205365108952838E-2</v>
      </c>
      <c r="E14" s="47">
        <f t="shared" si="3"/>
        <v>2.067954049817277E-2</v>
      </c>
      <c r="F14" s="47">
        <f t="shared" si="4"/>
        <v>1.8500753281370474E-2</v>
      </c>
      <c r="G14" s="47">
        <f t="shared" si="5"/>
        <v>1.9283042671149116E-2</v>
      </c>
      <c r="H14" s="47">
        <f t="shared" si="6"/>
        <v>2.0577120046426877E-2</v>
      </c>
      <c r="I14" s="47">
        <f t="shared" si="13"/>
        <v>2.0280777839372335E-2</v>
      </c>
      <c r="J14" s="47"/>
      <c r="K14" s="47">
        <f t="shared" si="14"/>
        <v>1.9804234777912599E-3</v>
      </c>
      <c r="L14" s="47">
        <f t="shared" si="7"/>
        <v>3.2745008530690213E-3</v>
      </c>
      <c r="M14" s="47">
        <f t="shared" si="9"/>
        <v>2.9781586460144796E-3</v>
      </c>
      <c r="N14" s="47"/>
      <c r="O14" s="48">
        <v>8995</v>
      </c>
      <c r="P14" s="48">
        <v>9597</v>
      </c>
      <c r="Q14" s="48">
        <v>10162</v>
      </c>
      <c r="R14" s="48">
        <v>11532</v>
      </c>
      <c r="S14" s="48">
        <v>11148</v>
      </c>
      <c r="T14" s="48">
        <v>12424</v>
      </c>
      <c r="U14" s="48">
        <v>13831</v>
      </c>
      <c r="V14" s="48"/>
      <c r="W14" s="48">
        <v>7235400</v>
      </c>
      <c r="X14" s="48">
        <v>7239160</v>
      </c>
      <c r="Y14" s="48">
        <v>7256212</v>
      </c>
      <c r="Z14" s="48">
        <v>7346234</v>
      </c>
      <c r="AA14" s="48">
        <v>7384437</v>
      </c>
      <c r="AB14" s="48">
        <v>7420208</v>
      </c>
      <c r="AC14" s="48">
        <v>7453334</v>
      </c>
      <c r="AD14" s="48"/>
      <c r="AE14" s="48">
        <v>50141</v>
      </c>
      <c r="AF14" s="48">
        <v>52406</v>
      </c>
      <c r="AG14" s="48"/>
      <c r="AH14" s="48">
        <f t="shared" si="8"/>
        <v>1243.193189042762</v>
      </c>
      <c r="AI14" s="48">
        <f t="shared" si="8"/>
        <v>1325.7062974157222</v>
      </c>
      <c r="AJ14" s="48">
        <f t="shared" si="8"/>
        <v>1400.4552237448411</v>
      </c>
      <c r="AK14" s="48">
        <f t="shared" si="8"/>
        <v>1569.7839192162951</v>
      </c>
      <c r="AL14" s="48">
        <f t="shared" si="8"/>
        <v>1509.6614677598307</v>
      </c>
      <c r="AM14" s="48">
        <f t="shared" si="8"/>
        <v>1674.3465951358776</v>
      </c>
      <c r="AN14" s="48">
        <f t="shared" si="8"/>
        <v>1855.6796193488713</v>
      </c>
      <c r="AO14" s="48">
        <f t="shared" si="10"/>
        <v>1828.9549760196185</v>
      </c>
      <c r="AP14" s="48"/>
      <c r="AQ14" s="249"/>
      <c r="AR14" s="246" t="s">
        <v>207</v>
      </c>
      <c r="AS14" s="245">
        <v>74190</v>
      </c>
      <c r="AT14" s="245">
        <v>70020</v>
      </c>
      <c r="AU14" s="245">
        <v>68690</v>
      </c>
      <c r="AV14" s="245">
        <v>80750</v>
      </c>
      <c r="AW14" s="245">
        <v>86340</v>
      </c>
      <c r="AX14" s="245">
        <v>85860</v>
      </c>
      <c r="AY14" s="245">
        <f t="shared" si="11"/>
        <v>88405.642899884202</v>
      </c>
      <c r="AZ14" s="245"/>
      <c r="BA14" s="46">
        <f t="shared" si="12"/>
        <v>2.9648764266063443E-2</v>
      </c>
      <c r="BB14" s="247"/>
      <c r="BC14" s="245"/>
      <c r="BD14" s="245"/>
      <c r="BE14" s="245"/>
    </row>
    <row r="15" spans="1:57" x14ac:dyDescent="0.25">
      <c r="A15" t="s">
        <v>177</v>
      </c>
      <c r="B15" s="47">
        <f t="shared" si="0"/>
        <v>1.9633228358757131E-2</v>
      </c>
      <c r="C15" s="47">
        <f t="shared" si="1"/>
        <v>1.9477719990642104E-2</v>
      </c>
      <c r="D15" s="47">
        <f t="shared" si="2"/>
        <v>1.9350403329939512E-2</v>
      </c>
      <c r="E15" s="47">
        <f t="shared" si="3"/>
        <v>2.2630800273723332E-2</v>
      </c>
      <c r="F15" s="47">
        <f t="shared" si="4"/>
        <v>2.1512637657383923E-2</v>
      </c>
      <c r="G15" s="47">
        <f t="shared" si="5"/>
        <v>2.1760407748251831E-2</v>
      </c>
      <c r="H15" s="47">
        <f t="shared" si="6"/>
        <v>2.3759169188473983E-2</v>
      </c>
      <c r="I15" s="47">
        <f t="shared" si="13"/>
        <v>2.3591980992391275E-2</v>
      </c>
      <c r="J15" s="47"/>
      <c r="K15" s="47">
        <f t="shared" si="14"/>
        <v>2.1271793894947003E-3</v>
      </c>
      <c r="L15" s="47">
        <f t="shared" si="7"/>
        <v>4.1259408297168523E-3</v>
      </c>
      <c r="M15" s="47">
        <f t="shared" si="9"/>
        <v>3.9587526336341446E-3</v>
      </c>
      <c r="N15" s="47"/>
      <c r="O15" s="48">
        <v>7509</v>
      </c>
      <c r="P15" s="48">
        <v>7512</v>
      </c>
      <c r="Q15" s="48">
        <v>7698</v>
      </c>
      <c r="R15" s="48">
        <v>8995</v>
      </c>
      <c r="S15" s="48">
        <v>9472</v>
      </c>
      <c r="T15" s="48">
        <v>9642</v>
      </c>
      <c r="U15" s="48">
        <v>10822</v>
      </c>
      <c r="V15" s="48"/>
      <c r="W15" s="48">
        <v>5418870</v>
      </c>
      <c r="X15" s="48">
        <v>5448106</v>
      </c>
      <c r="Y15" s="48">
        <v>5477367</v>
      </c>
      <c r="Z15" s="48">
        <v>5504323</v>
      </c>
      <c r="AA15" s="48">
        <v>5516153</v>
      </c>
      <c r="AB15" s="48">
        <v>5534578</v>
      </c>
      <c r="AC15" s="48">
        <v>5547712</v>
      </c>
      <c r="AD15" s="48"/>
      <c r="AE15" s="48">
        <v>54396</v>
      </c>
      <c r="AF15" s="48">
        <v>56084</v>
      </c>
      <c r="AG15" s="48"/>
      <c r="AH15" s="48">
        <f t="shared" si="8"/>
        <v>1385.7132575610783</v>
      </c>
      <c r="AI15" s="48">
        <f t="shared" si="8"/>
        <v>1378.8277981375545</v>
      </c>
      <c r="AJ15" s="48">
        <f t="shared" si="8"/>
        <v>1405.4197938535067</v>
      </c>
      <c r="AK15" s="48">
        <f t="shared" si="8"/>
        <v>1634.1700877655617</v>
      </c>
      <c r="AL15" s="48">
        <f t="shared" si="8"/>
        <v>1717.1387378123848</v>
      </c>
      <c r="AM15" s="48">
        <f t="shared" si="8"/>
        <v>1742.1382443250416</v>
      </c>
      <c r="AN15" s="48">
        <f t="shared" si="8"/>
        <v>1950.7140961895643</v>
      </c>
      <c r="AO15" s="48">
        <f t="shared" si="10"/>
        <v>1936.987337975592</v>
      </c>
      <c r="AP15" s="48"/>
      <c r="AQ15" s="249"/>
      <c r="AR15" s="246" t="s">
        <v>208</v>
      </c>
      <c r="AS15" s="245">
        <v>93110</v>
      </c>
      <c r="AT15" s="245">
        <v>88220</v>
      </c>
      <c r="AU15" s="245">
        <v>90640</v>
      </c>
      <c r="AV15" s="245">
        <v>101700</v>
      </c>
      <c r="AW15" s="245">
        <v>111000</v>
      </c>
      <c r="AX15" s="245">
        <v>104800</v>
      </c>
      <c r="AY15" s="245">
        <f t="shared" si="11"/>
        <v>107308.53698247725</v>
      </c>
      <c r="AZ15" s="245"/>
      <c r="BA15" s="46">
        <f t="shared" si="12"/>
        <v>2.3936421588523382E-2</v>
      </c>
      <c r="BB15" s="247"/>
      <c r="BC15" s="245"/>
      <c r="BD15" s="245"/>
      <c r="BE15" s="245"/>
    </row>
    <row r="16" spans="1:57" x14ac:dyDescent="0.25">
      <c r="A16" t="s">
        <v>179</v>
      </c>
      <c r="B16" s="47">
        <f t="shared" si="0"/>
        <v>1.4898817358939217E-2</v>
      </c>
      <c r="C16" s="47">
        <f t="shared" si="1"/>
        <v>1.5172852757726903E-2</v>
      </c>
      <c r="D16" s="47">
        <f t="shared" si="2"/>
        <v>1.4515821252026485E-2</v>
      </c>
      <c r="E16" s="47">
        <f t="shared" si="3"/>
        <v>1.7339994719102463E-2</v>
      </c>
      <c r="F16" s="47">
        <f t="shared" si="4"/>
        <v>1.4361739179709832E-2</v>
      </c>
      <c r="G16" s="47">
        <f t="shared" si="5"/>
        <v>1.5674956238513262E-2</v>
      </c>
      <c r="H16" s="47">
        <f t="shared" si="6"/>
        <v>1.7749023485689189E-2</v>
      </c>
      <c r="I16" s="47">
        <f t="shared" si="13"/>
        <v>1.743971840163186E-2</v>
      </c>
      <c r="J16" s="47"/>
      <c r="K16" s="47">
        <f t="shared" si="14"/>
        <v>7.7613887957404468E-4</v>
      </c>
      <c r="L16" s="47">
        <f t="shared" si="7"/>
        <v>2.8502061267499726E-3</v>
      </c>
      <c r="M16" s="47">
        <f t="shared" si="9"/>
        <v>2.5409010426926427E-3</v>
      </c>
      <c r="N16" s="47"/>
      <c r="O16" s="48">
        <v>5891</v>
      </c>
      <c r="P16" s="48">
        <v>6022</v>
      </c>
      <c r="Q16" s="48">
        <v>6168</v>
      </c>
      <c r="R16" s="48">
        <v>7274</v>
      </c>
      <c r="S16" s="48">
        <v>6804</v>
      </c>
      <c r="T16" s="48">
        <v>7118</v>
      </c>
      <c r="U16" s="48">
        <v>8248</v>
      </c>
      <c r="V16" s="48"/>
      <c r="W16" s="48">
        <v>5314523</v>
      </c>
      <c r="X16" s="48">
        <v>5339608</v>
      </c>
      <c r="Y16" s="48">
        <v>5361712</v>
      </c>
      <c r="Z16" s="48">
        <v>5376732</v>
      </c>
      <c r="AA16" s="48">
        <v>5394657</v>
      </c>
      <c r="AB16" s="48">
        <v>5392473</v>
      </c>
      <c r="AC16" s="48">
        <v>5383347</v>
      </c>
      <c r="AD16" s="48"/>
      <c r="AE16" s="48">
        <v>45220</v>
      </c>
      <c r="AF16" s="48">
        <v>46618</v>
      </c>
      <c r="AG16" s="48"/>
      <c r="AH16" s="48">
        <f t="shared" si="8"/>
        <v>1108.4720115050777</v>
      </c>
      <c r="AI16" s="48">
        <f t="shared" si="8"/>
        <v>1127.7981454818407</v>
      </c>
      <c r="AJ16" s="48">
        <f t="shared" si="8"/>
        <v>1150.3788342230989</v>
      </c>
      <c r="AK16" s="48">
        <f t="shared" si="8"/>
        <v>1352.8663879843741</v>
      </c>
      <c r="AL16" s="48">
        <f t="shared" si="8"/>
        <v>1261.2479347621174</v>
      </c>
      <c r="AM16" s="48">
        <f t="shared" si="8"/>
        <v>1319.9880648452017</v>
      </c>
      <c r="AN16" s="48">
        <f t="shared" si="8"/>
        <v>1532.1323332863365</v>
      </c>
      <c r="AO16" s="48">
        <f t="shared" si="10"/>
        <v>1505.4324801639279</v>
      </c>
      <c r="AP16" s="48"/>
      <c r="AQ16" s="249"/>
      <c r="AR16" s="246" t="s">
        <v>209</v>
      </c>
      <c r="AS16" s="245">
        <v>58370</v>
      </c>
      <c r="AT16" s="245">
        <v>57760</v>
      </c>
      <c r="AU16" s="245">
        <v>59730</v>
      </c>
      <c r="AV16" s="245">
        <v>65370</v>
      </c>
      <c r="AW16" s="245">
        <v>72200</v>
      </c>
      <c r="AX16" s="245">
        <v>75630</v>
      </c>
      <c r="AY16" s="245">
        <f t="shared" si="11"/>
        <v>79651.68761358966</v>
      </c>
      <c r="AZ16" s="245"/>
      <c r="BA16" s="46">
        <f t="shared" si="12"/>
        <v>5.317582458798964E-2</v>
      </c>
      <c r="BB16" s="247"/>
      <c r="BC16" s="245"/>
      <c r="BD16" s="245"/>
      <c r="BE16" s="245"/>
    </row>
    <row r="17" spans="1:57" x14ac:dyDescent="0.25">
      <c r="A17" t="s">
        <v>180</v>
      </c>
      <c r="B17" s="47">
        <f t="shared" si="0"/>
        <v>2.1725796132280272E-2</v>
      </c>
      <c r="C17" s="47">
        <f t="shared" si="1"/>
        <v>2.1614271852141348E-2</v>
      </c>
      <c r="D17" s="47">
        <f t="shared" si="2"/>
        <v>2.1625689314383818E-2</v>
      </c>
      <c r="E17" s="47">
        <f t="shared" si="3"/>
        <v>2.3750342005522222E-2</v>
      </c>
      <c r="F17" s="47">
        <f t="shared" si="4"/>
        <v>2.0421945591207979E-2</v>
      </c>
      <c r="G17" s="47">
        <f t="shared" si="5"/>
        <v>2.0815360477214728E-2</v>
      </c>
      <c r="H17" s="47">
        <f t="shared" si="6"/>
        <v>2.3629932104825398E-2</v>
      </c>
      <c r="I17" s="47">
        <f t="shared" si="13"/>
        <v>2.369785266231501E-2</v>
      </c>
      <c r="J17" s="47"/>
      <c r="K17" s="47">
        <f t="shared" si="14"/>
        <v>-9.1043565506554458E-4</v>
      </c>
      <c r="L17" s="47">
        <f t="shared" si="7"/>
        <v>1.9041359725451255E-3</v>
      </c>
      <c r="M17" s="47">
        <f t="shared" si="9"/>
        <v>1.9720565300347381E-3</v>
      </c>
      <c r="N17" s="47"/>
      <c r="O17" s="48">
        <v>4183</v>
      </c>
      <c r="P17" s="48">
        <v>4217</v>
      </c>
      <c r="Q17" s="48">
        <v>4476</v>
      </c>
      <c r="R17" s="48">
        <v>4970</v>
      </c>
      <c r="S17" s="48">
        <v>4741</v>
      </c>
      <c r="T17" s="48">
        <v>4880</v>
      </c>
      <c r="U17" s="48">
        <v>5599</v>
      </c>
      <c r="V17" s="48"/>
      <c r="W17" s="48">
        <v>2887031</v>
      </c>
      <c r="X17" s="48">
        <v>2920260</v>
      </c>
      <c r="Y17" s="48">
        <v>2948797</v>
      </c>
      <c r="Z17" s="48">
        <v>2988150</v>
      </c>
      <c r="AA17" s="48">
        <v>3018492</v>
      </c>
      <c r="AB17" s="48">
        <v>3056215</v>
      </c>
      <c r="AC17" s="48">
        <v>3003570</v>
      </c>
      <c r="AD17" s="48"/>
      <c r="AE17" s="48">
        <v>33249</v>
      </c>
      <c r="AF17" s="48">
        <v>34492</v>
      </c>
      <c r="AG17" s="48"/>
      <c r="AH17" s="48">
        <f t="shared" si="8"/>
        <v>1448.8933440617714</v>
      </c>
      <c r="AI17" s="48">
        <f t="shared" si="8"/>
        <v>1444.0495024415634</v>
      </c>
      <c r="AJ17" s="48">
        <f t="shared" si="8"/>
        <v>1517.9071329766002</v>
      </c>
      <c r="AK17" s="48">
        <f t="shared" si="8"/>
        <v>1663.2364506467213</v>
      </c>
      <c r="AL17" s="48">
        <f t="shared" si="8"/>
        <v>1570.6518354198056</v>
      </c>
      <c r="AM17" s="48">
        <f t="shared" si="8"/>
        <v>1596.7463022071418</v>
      </c>
      <c r="AN17" s="48">
        <f t="shared" si="8"/>
        <v>1864.1150364399698</v>
      </c>
      <c r="AO17" s="48">
        <f t="shared" si="10"/>
        <v>1869.4731446198032</v>
      </c>
      <c r="AP17" s="48"/>
      <c r="AQ17" s="249"/>
      <c r="AR17" s="246" t="s">
        <v>210</v>
      </c>
      <c r="AS17" s="245">
        <v>56630</v>
      </c>
      <c r="AT17" s="245">
        <v>59270</v>
      </c>
      <c r="AU17" s="245">
        <v>61500</v>
      </c>
      <c r="AV17" s="245">
        <v>67730</v>
      </c>
      <c r="AW17" s="245">
        <v>72420</v>
      </c>
      <c r="AX17" s="245">
        <v>81210</v>
      </c>
      <c r="AY17" s="245">
        <f t="shared" si="11"/>
        <v>87281.479688120191</v>
      </c>
      <c r="AZ17" s="245"/>
      <c r="BA17" s="46">
        <f t="shared" si="12"/>
        <v>7.4762710111072384E-2</v>
      </c>
      <c r="BB17" s="247"/>
      <c r="BC17" s="245"/>
      <c r="BD17" s="245"/>
      <c r="BE17" s="245"/>
    </row>
    <row r="18" spans="1:57" x14ac:dyDescent="0.25">
      <c r="A18" t="s">
        <v>181</v>
      </c>
      <c r="B18" s="47">
        <f t="shared" si="0"/>
        <v>1.8757013758077434E-2</v>
      </c>
      <c r="C18" s="47">
        <f t="shared" si="1"/>
        <v>2.0471490028734964E-2</v>
      </c>
      <c r="D18" s="47">
        <f t="shared" si="2"/>
        <v>2.1878351721418329E-2</v>
      </c>
      <c r="E18" s="47">
        <f t="shared" si="3"/>
        <v>2.0262222643578281E-2</v>
      </c>
      <c r="F18" s="47">
        <f t="shared" si="4"/>
        <v>1.7714970152498191E-2</v>
      </c>
      <c r="G18" s="47">
        <f t="shared" si="5"/>
        <v>1.8017652333927669E-2</v>
      </c>
      <c r="H18" s="47">
        <f t="shared" si="6"/>
        <v>1.8354354139368104E-2</v>
      </c>
      <c r="I18" s="47">
        <f t="shared" si="13"/>
        <v>1.8433453629053149E-2</v>
      </c>
      <c r="J18" s="47"/>
      <c r="K18" s="47">
        <f t="shared" si="14"/>
        <v>-7.393614241497648E-4</v>
      </c>
      <c r="L18" s="47">
        <f t="shared" si="7"/>
        <v>-4.0265961870932995E-4</v>
      </c>
      <c r="M18" s="47">
        <f t="shared" si="9"/>
        <v>-3.2356012902428483E-4</v>
      </c>
      <c r="N18" s="47"/>
      <c r="O18" s="48">
        <v>5273</v>
      </c>
      <c r="P18" s="48">
        <v>5831</v>
      </c>
      <c r="Q18" s="48">
        <v>6290</v>
      </c>
      <c r="R18" s="48">
        <v>6256</v>
      </c>
      <c r="S18" s="48">
        <v>6130</v>
      </c>
      <c r="T18" s="48">
        <v>6466</v>
      </c>
      <c r="U18" s="48">
        <v>6914</v>
      </c>
      <c r="V18" s="48"/>
      <c r="W18" s="48">
        <v>4384303</v>
      </c>
      <c r="X18" s="48">
        <v>4423593</v>
      </c>
      <c r="Y18" s="48">
        <v>4458037</v>
      </c>
      <c r="Z18" s="48">
        <v>4475314</v>
      </c>
      <c r="AA18" s="48">
        <v>4496297</v>
      </c>
      <c r="AB18" s="48">
        <v>4516364</v>
      </c>
      <c r="AC18" s="48">
        <v>4541619</v>
      </c>
      <c r="AD18" s="48"/>
      <c r="AE18" s="48">
        <v>33496</v>
      </c>
      <c r="AF18" s="48">
        <v>34549</v>
      </c>
      <c r="AG18" s="48"/>
      <c r="AH18" s="48">
        <f t="shared" si="8"/>
        <v>1202.6997221679251</v>
      </c>
      <c r="AI18" s="48">
        <f t="shared" si="8"/>
        <v>1318.1592429502443</v>
      </c>
      <c r="AJ18" s="48">
        <f t="shared" si="8"/>
        <v>1410.9349025142681</v>
      </c>
      <c r="AK18" s="48">
        <f t="shared" si="8"/>
        <v>1397.8907401804656</v>
      </c>
      <c r="AL18" s="48">
        <f t="shared" si="8"/>
        <v>1363.3441029362607</v>
      </c>
      <c r="AM18" s="48">
        <f t="shared" si="8"/>
        <v>1431.6826544538926</v>
      </c>
      <c r="AN18" s="48">
        <f t="shared" si="8"/>
        <v>1522.364601698205</v>
      </c>
      <c r="AO18" s="48">
        <f t="shared" si="10"/>
        <v>1528.9253481126277</v>
      </c>
      <c r="AP18" s="48"/>
      <c r="AQ18" s="249"/>
      <c r="AR18" s="246" t="s">
        <v>241</v>
      </c>
      <c r="AS18" s="245">
        <v>88010</v>
      </c>
      <c r="AT18" s="245">
        <v>80830</v>
      </c>
      <c r="AU18" s="245">
        <v>82200</v>
      </c>
      <c r="AV18" s="245">
        <v>91010</v>
      </c>
      <c r="AW18" s="245">
        <v>97360</v>
      </c>
      <c r="AX18" s="245">
        <v>98240</v>
      </c>
      <c r="AY18" s="245">
        <f t="shared" si="11"/>
        <v>100424.48664438933</v>
      </c>
      <c r="AZ18" s="245"/>
      <c r="BA18" s="46">
        <f t="shared" si="12"/>
        <v>2.2236223986047632E-2</v>
      </c>
      <c r="BB18" s="247"/>
      <c r="BC18" s="245"/>
      <c r="BD18" s="245"/>
      <c r="BE18" s="245"/>
    </row>
    <row r="19" spans="1:57" x14ac:dyDescent="0.25">
      <c r="A19" t="s">
        <v>182</v>
      </c>
      <c r="B19" s="47">
        <f t="shared" si="0"/>
        <v>2.0070346038751588E-2</v>
      </c>
      <c r="C19" s="47">
        <f t="shared" si="1"/>
        <v>2.1324096408034426E-2</v>
      </c>
      <c r="D19" s="47">
        <f t="shared" si="2"/>
        <v>2.1478963060964019E-2</v>
      </c>
      <c r="E19" s="47">
        <f t="shared" si="3"/>
        <v>2.1517401021496255E-2</v>
      </c>
      <c r="F19" s="47">
        <f t="shared" si="4"/>
        <v>2.0282515931468879E-2</v>
      </c>
      <c r="G19" s="47">
        <f t="shared" si="5"/>
        <v>2.0142873640388199E-2</v>
      </c>
      <c r="H19" s="47">
        <f t="shared" si="6"/>
        <v>2.1365073147155182E-2</v>
      </c>
      <c r="I19" s="47">
        <f t="shared" si="13"/>
        <v>2.1132688436057753E-2</v>
      </c>
      <c r="J19" s="47"/>
      <c r="K19" s="47">
        <f t="shared" si="14"/>
        <v>7.2527601636611372E-5</v>
      </c>
      <c r="L19" s="47">
        <f t="shared" si="7"/>
        <v>1.2947271084035941E-3</v>
      </c>
      <c r="M19" s="47">
        <f t="shared" si="9"/>
        <v>1.0623423973061645E-3</v>
      </c>
      <c r="N19" s="47"/>
      <c r="O19" s="48">
        <v>6464</v>
      </c>
      <c r="P19" s="48">
        <v>6457</v>
      </c>
      <c r="Q19" s="48">
        <v>6789</v>
      </c>
      <c r="R19" s="48">
        <v>7384</v>
      </c>
      <c r="S19" s="48">
        <v>7647</v>
      </c>
      <c r="T19" s="48">
        <v>8340</v>
      </c>
      <c r="U19" s="48">
        <v>9156</v>
      </c>
      <c r="V19" s="48"/>
      <c r="W19" s="48">
        <v>4980934</v>
      </c>
      <c r="X19" s="48">
        <v>5014955</v>
      </c>
      <c r="Y19" s="48">
        <v>5041900</v>
      </c>
      <c r="Z19" s="48">
        <v>5082407</v>
      </c>
      <c r="AA19" s="48">
        <v>5110807</v>
      </c>
      <c r="AB19" s="48">
        <v>5142104</v>
      </c>
      <c r="AC19" s="48">
        <v>5093825</v>
      </c>
      <c r="AD19" s="48"/>
      <c r="AE19" s="48">
        <v>52226</v>
      </c>
      <c r="AF19" s="48">
        <v>53997</v>
      </c>
      <c r="AG19" s="48"/>
      <c r="AH19" s="48">
        <f t="shared" si="8"/>
        <v>1297.7485748656777</v>
      </c>
      <c r="AI19" s="48">
        <f t="shared" si="8"/>
        <v>1287.5489411171186</v>
      </c>
      <c r="AJ19" s="48">
        <f t="shared" si="8"/>
        <v>1346.5161942918344</v>
      </c>
      <c r="AK19" s="48">
        <f t="shared" si="8"/>
        <v>1452.8549169714272</v>
      </c>
      <c r="AL19" s="48">
        <f t="shared" si="8"/>
        <v>1496.2412002644592</v>
      </c>
      <c r="AM19" s="48">
        <f t="shared" si="8"/>
        <v>1621.9041855240578</v>
      </c>
      <c r="AN19" s="48">
        <f t="shared" si="8"/>
        <v>1797.4704666925149</v>
      </c>
      <c r="AO19" s="48">
        <f t="shared" si="10"/>
        <v>1777.9196487649797</v>
      </c>
      <c r="AP19" s="48"/>
      <c r="AQ19" s="249"/>
      <c r="AR19" s="246" t="s">
        <v>229</v>
      </c>
      <c r="AS19" s="245">
        <v>65990</v>
      </c>
      <c r="AT19" s="245">
        <v>66730</v>
      </c>
      <c r="AU19" s="245">
        <v>76920</v>
      </c>
      <c r="AV19" s="245">
        <v>72580</v>
      </c>
      <c r="AW19" s="245">
        <v>73910</v>
      </c>
      <c r="AX19" s="245">
        <v>81650</v>
      </c>
      <c r="AY19" s="245">
        <f t="shared" si="11"/>
        <v>85202.394697691881</v>
      </c>
      <c r="AZ19" s="245"/>
      <c r="BA19" s="46">
        <f t="shared" si="12"/>
        <v>4.3507589683917658E-2</v>
      </c>
      <c r="BB19" s="247"/>
      <c r="BC19" s="245"/>
      <c r="BD19" s="245"/>
      <c r="BE19" s="245"/>
    </row>
    <row r="20" spans="1:57" x14ac:dyDescent="0.25">
      <c r="A20" t="s">
        <v>185</v>
      </c>
      <c r="B20" s="47">
        <f t="shared" si="0"/>
        <v>1.7018591935106082E-2</v>
      </c>
      <c r="C20" s="47">
        <f t="shared" si="1"/>
        <v>1.7699262025250739E-2</v>
      </c>
      <c r="D20" s="47">
        <f t="shared" si="2"/>
        <v>1.7186646330508728E-2</v>
      </c>
      <c r="E20" s="47">
        <f t="shared" si="3"/>
        <v>1.7501062460211173E-2</v>
      </c>
      <c r="F20" s="47">
        <f t="shared" si="4"/>
        <v>1.6725102581369531E-2</v>
      </c>
      <c r="G20" s="47">
        <f t="shared" si="5"/>
        <v>1.6112254245523028E-2</v>
      </c>
      <c r="H20" s="47">
        <f t="shared" si="6"/>
        <v>1.687061495899414E-2</v>
      </c>
      <c r="I20" s="47">
        <f t="shared" si="13"/>
        <v>1.7072346527321324E-2</v>
      </c>
      <c r="J20" s="47"/>
      <c r="K20" s="47">
        <f t="shared" si="14"/>
        <v>-9.0633768958305397E-4</v>
      </c>
      <c r="L20" s="47">
        <f t="shared" si="7"/>
        <v>-1.4797697611194233E-4</v>
      </c>
      <c r="M20" s="47">
        <f t="shared" si="9"/>
        <v>5.3754592215241731E-5</v>
      </c>
      <c r="N20" s="47"/>
      <c r="O20" s="48">
        <v>3118</v>
      </c>
      <c r="P20" s="48">
        <v>3272</v>
      </c>
      <c r="Q20" s="48">
        <v>3320</v>
      </c>
      <c r="R20" s="48">
        <v>3576</v>
      </c>
      <c r="S20" s="48">
        <v>3750</v>
      </c>
      <c r="T20" s="48">
        <v>3783</v>
      </c>
      <c r="U20" s="48">
        <v>4163</v>
      </c>
      <c r="V20" s="48"/>
      <c r="W20" s="48">
        <v>2720288</v>
      </c>
      <c r="X20" s="48">
        <v>2742419</v>
      </c>
      <c r="Y20" s="48">
        <v>2761985</v>
      </c>
      <c r="Z20" s="48">
        <v>2786451</v>
      </c>
      <c r="AA20" s="48">
        <v>2813576</v>
      </c>
      <c r="AB20" s="48">
        <v>2843874</v>
      </c>
      <c r="AC20" s="48">
        <v>2869587</v>
      </c>
      <c r="AD20" s="48"/>
      <c r="AE20" s="48">
        <v>21995</v>
      </c>
      <c r="AF20" s="48">
        <v>22928</v>
      </c>
      <c r="AG20" s="48"/>
      <c r="AH20" s="48">
        <f t="shared" si="8"/>
        <v>1146.2021668293946</v>
      </c>
      <c r="AI20" s="48">
        <f t="shared" si="8"/>
        <v>1193.1072531221523</v>
      </c>
      <c r="AJ20" s="48">
        <f t="shared" si="8"/>
        <v>1202.0340443557805</v>
      </c>
      <c r="AK20" s="48">
        <f t="shared" si="8"/>
        <v>1283.3529102072853</v>
      </c>
      <c r="AL20" s="48">
        <f t="shared" si="8"/>
        <v>1332.8234247093378</v>
      </c>
      <c r="AM20" s="48">
        <f t="shared" si="8"/>
        <v>1330.2277105103813</v>
      </c>
      <c r="AN20" s="48">
        <f t="shared" si="8"/>
        <v>1450.7314118721613</v>
      </c>
      <c r="AO20" s="48">
        <f t="shared" si="10"/>
        <v>1468.0786350557751</v>
      </c>
      <c r="AP20" s="48"/>
      <c r="AQ20" s="249"/>
      <c r="AR20" s="246" t="s">
        <v>179</v>
      </c>
      <c r="AS20" s="245">
        <v>74400</v>
      </c>
      <c r="AT20" s="245">
        <v>74330</v>
      </c>
      <c r="AU20" s="245">
        <v>79250</v>
      </c>
      <c r="AV20" s="245">
        <v>78020</v>
      </c>
      <c r="AW20" s="245">
        <v>87820</v>
      </c>
      <c r="AX20" s="245">
        <v>84210</v>
      </c>
      <c r="AY20" s="245">
        <f t="shared" si="11"/>
        <v>86322.063550238425</v>
      </c>
      <c r="AZ20" s="245"/>
      <c r="BA20" s="46">
        <f t="shared" si="12"/>
        <v>2.508091141477764E-2</v>
      </c>
      <c r="BB20" s="247"/>
      <c r="BC20" s="245"/>
      <c r="BD20" s="245"/>
      <c r="BE20" s="245"/>
    </row>
    <row r="21" spans="1:57" x14ac:dyDescent="0.25">
      <c r="A21" t="s">
        <v>191</v>
      </c>
      <c r="B21" s="47">
        <f t="shared" si="0"/>
        <v>1.9629112612522297E-2</v>
      </c>
      <c r="C21" s="47">
        <f t="shared" si="1"/>
        <v>1.8792618482610726E-2</v>
      </c>
      <c r="D21" s="47">
        <f t="shared" si="2"/>
        <v>1.8166155196180679E-2</v>
      </c>
      <c r="E21" s="47">
        <f t="shared" si="3"/>
        <v>1.8347347171239564E-2</v>
      </c>
      <c r="F21" s="47">
        <f t="shared" si="4"/>
        <v>1.6707184568981424E-2</v>
      </c>
      <c r="G21" s="47">
        <f t="shared" si="5"/>
        <v>1.5656747977777257E-2</v>
      </c>
      <c r="H21" s="47">
        <f t="shared" si="6"/>
        <v>1.5671930087850772E-2</v>
      </c>
      <c r="I21" s="47">
        <f t="shared" si="13"/>
        <v>1.5860374125625219E-2</v>
      </c>
      <c r="J21" s="47"/>
      <c r="K21" s="47">
        <f t="shared" si="14"/>
        <v>-3.9723646347450403E-3</v>
      </c>
      <c r="L21" s="47">
        <f t="shared" si="7"/>
        <v>-3.957182524671525E-3</v>
      </c>
      <c r="M21" s="47">
        <f t="shared" si="9"/>
        <v>-3.7687384868970789E-3</v>
      </c>
      <c r="N21" s="47"/>
      <c r="O21" s="48">
        <v>1806</v>
      </c>
      <c r="P21" s="48">
        <v>1815</v>
      </c>
      <c r="Q21" s="48">
        <v>1865</v>
      </c>
      <c r="R21" s="48">
        <v>1997</v>
      </c>
      <c r="S21" s="48">
        <v>1940</v>
      </c>
      <c r="T21" s="48">
        <v>1939</v>
      </c>
      <c r="U21" s="48">
        <v>2076</v>
      </c>
      <c r="V21" s="48"/>
      <c r="W21" s="48">
        <v>1392978</v>
      </c>
      <c r="X21" s="48">
        <v>1403378</v>
      </c>
      <c r="Y21" s="48">
        <v>1417416</v>
      </c>
      <c r="Z21" s="48">
        <v>1426154</v>
      </c>
      <c r="AA21" s="48">
        <v>1436034</v>
      </c>
      <c r="AB21" s="48">
        <v>1448811</v>
      </c>
      <c r="AC21" s="48">
        <v>1471777</v>
      </c>
      <c r="AD21" s="48"/>
      <c r="AE21" s="48">
        <v>14495</v>
      </c>
      <c r="AF21" s="48">
        <v>15133</v>
      </c>
      <c r="AG21" s="48"/>
      <c r="AH21" s="48">
        <f t="shared" si="8"/>
        <v>1296.5028880570978</v>
      </c>
      <c r="AI21" s="48">
        <f t="shared" si="8"/>
        <v>1293.3080039732702</v>
      </c>
      <c r="AJ21" s="48">
        <f t="shared" si="8"/>
        <v>1315.7746208593667</v>
      </c>
      <c r="AK21" s="48">
        <f t="shared" si="8"/>
        <v>1400.2695361090036</v>
      </c>
      <c r="AL21" s="48">
        <f t="shared" si="8"/>
        <v>1350.9429442478381</v>
      </c>
      <c r="AM21" s="48">
        <f t="shared" si="8"/>
        <v>1338.3388171403999</v>
      </c>
      <c r="AN21" s="48">
        <f t="shared" si="8"/>
        <v>1410.5397760666187</v>
      </c>
      <c r="AO21" s="48">
        <f t="shared" si="10"/>
        <v>1427.5005338899018</v>
      </c>
      <c r="AP21" s="48"/>
      <c r="AQ21" s="249"/>
      <c r="AR21" s="246" t="s">
        <v>180</v>
      </c>
      <c r="AS21" s="245">
        <v>66690</v>
      </c>
      <c r="AT21" s="245">
        <v>66810</v>
      </c>
      <c r="AU21" s="245">
        <v>70190</v>
      </c>
      <c r="AV21" s="245">
        <v>70030</v>
      </c>
      <c r="AW21" s="245">
        <v>76910</v>
      </c>
      <c r="AX21" s="245">
        <v>76710</v>
      </c>
      <c r="AY21" s="245">
        <f t="shared" si="11"/>
        <v>78887.871034521697</v>
      </c>
      <c r="AZ21" s="245"/>
      <c r="BA21" s="46">
        <f t="shared" si="12"/>
        <v>2.8390966425781539E-2</v>
      </c>
      <c r="BB21" s="247"/>
      <c r="BC21" s="245"/>
      <c r="BD21" s="245"/>
      <c r="BE21" s="245"/>
    </row>
    <row r="22" spans="1:57" x14ac:dyDescent="0.25">
      <c r="A22" t="s">
        <v>193</v>
      </c>
      <c r="B22" s="47">
        <f t="shared" si="0"/>
        <v>1.8581868219904981E-2</v>
      </c>
      <c r="C22" s="47">
        <f t="shared" si="1"/>
        <v>1.8639341210646265E-2</v>
      </c>
      <c r="D22" s="47">
        <f t="shared" si="2"/>
        <v>1.8251635185279613E-2</v>
      </c>
      <c r="E22" s="47">
        <f t="shared" si="3"/>
        <v>2.1327158391922816E-2</v>
      </c>
      <c r="F22" s="47">
        <f t="shared" si="4"/>
        <v>1.6679663755648846E-2</v>
      </c>
      <c r="G22" s="47">
        <f t="shared" si="5"/>
        <v>1.6953087896146222E-2</v>
      </c>
      <c r="H22" s="47">
        <f t="shared" si="6"/>
        <v>1.6914286560129017E-2</v>
      </c>
      <c r="I22" s="47">
        <f t="shared" si="13"/>
        <v>1.7117839424800916E-2</v>
      </c>
      <c r="J22" s="47"/>
      <c r="K22" s="47">
        <f t="shared" si="14"/>
        <v>-1.6287803237587592E-3</v>
      </c>
      <c r="L22" s="47">
        <f t="shared" si="7"/>
        <v>-1.6675816597759643E-3</v>
      </c>
      <c r="M22" s="47">
        <f t="shared" si="9"/>
        <v>-1.4640287951040651E-3</v>
      </c>
      <c r="N22" s="47"/>
      <c r="O22" s="48">
        <v>1733</v>
      </c>
      <c r="P22" s="48">
        <v>1747</v>
      </c>
      <c r="Q22" s="48">
        <v>1788</v>
      </c>
      <c r="R22" s="48">
        <v>2021</v>
      </c>
      <c r="S22" s="48">
        <v>1849</v>
      </c>
      <c r="T22" s="48">
        <v>1958</v>
      </c>
      <c r="U22" s="48">
        <v>2067</v>
      </c>
      <c r="V22" s="48"/>
      <c r="W22" s="48">
        <v>1274955</v>
      </c>
      <c r="X22" s="48">
        <v>1282519</v>
      </c>
      <c r="Y22" s="48">
        <v>1289337</v>
      </c>
      <c r="Z22" s="48">
        <v>1297396</v>
      </c>
      <c r="AA22" s="48">
        <v>1306773</v>
      </c>
      <c r="AB22" s="48">
        <v>1317085</v>
      </c>
      <c r="AC22" s="48">
        <v>1343970</v>
      </c>
      <c r="AD22" s="48"/>
      <c r="AE22" s="48">
        <v>13631</v>
      </c>
      <c r="AF22" s="48">
        <v>14198</v>
      </c>
      <c r="AG22" s="48"/>
      <c r="AH22" s="48">
        <f t="shared" si="8"/>
        <v>1359.2636602860493</v>
      </c>
      <c r="AI22" s="48">
        <f t="shared" si="8"/>
        <v>1362.163055674029</v>
      </c>
      <c r="AJ22" s="48">
        <f t="shared" si="8"/>
        <v>1386.7592413775451</v>
      </c>
      <c r="AK22" s="48">
        <f t="shared" si="8"/>
        <v>1557.7356489460426</v>
      </c>
      <c r="AL22" s="48">
        <f t="shared" si="8"/>
        <v>1414.9358763916916</v>
      </c>
      <c r="AM22" s="48">
        <f t="shared" si="8"/>
        <v>1486.6162776130623</v>
      </c>
      <c r="AN22" s="48">
        <f t="shared" si="8"/>
        <v>1537.9807584990735</v>
      </c>
      <c r="AO22" s="48">
        <f t="shared" si="10"/>
        <v>1556.4893954486631</v>
      </c>
      <c r="AP22" s="48"/>
      <c r="AQ22" s="249"/>
      <c r="AR22" s="246" t="s">
        <v>191</v>
      </c>
      <c r="AS22" s="245">
        <v>66050</v>
      </c>
      <c r="AT22" s="245">
        <v>68820</v>
      </c>
      <c r="AU22" s="245">
        <v>72430</v>
      </c>
      <c r="AV22" s="245">
        <v>76320</v>
      </c>
      <c r="AW22" s="245">
        <v>80860</v>
      </c>
      <c r="AX22" s="245">
        <v>85480</v>
      </c>
      <c r="AY22" s="245">
        <f t="shared" si="11"/>
        <v>90004.215700279354</v>
      </c>
      <c r="AZ22" s="245"/>
      <c r="BA22" s="46">
        <f t="shared" si="12"/>
        <v>5.2927184139908157E-2</v>
      </c>
      <c r="BB22" s="247"/>
      <c r="BC22" s="245"/>
      <c r="BD22" s="245"/>
      <c r="BE22" s="245"/>
    </row>
    <row r="23" spans="1:57" x14ac:dyDescent="0.25">
      <c r="A23" t="s">
        <v>195</v>
      </c>
      <c r="B23" s="47">
        <f t="shared" si="0"/>
        <v>1.4594357115547773E-2</v>
      </c>
      <c r="C23" s="47">
        <f t="shared" si="1"/>
        <v>1.5559077986555361E-2</v>
      </c>
      <c r="D23" s="47">
        <f t="shared" si="2"/>
        <v>1.5626654406052713E-2</v>
      </c>
      <c r="E23" s="47">
        <f t="shared" si="3"/>
        <v>1.4627501766061028E-2</v>
      </c>
      <c r="F23" s="47">
        <f t="shared" si="4"/>
        <v>1.4715253884000572E-2</v>
      </c>
      <c r="G23" s="47">
        <f t="shared" si="5"/>
        <v>1.4301166851417061E-2</v>
      </c>
      <c r="H23" s="47">
        <f t="shared" si="6"/>
        <v>1.488361746318217E-2</v>
      </c>
      <c r="I23" s="47">
        <f t="shared" si="13"/>
        <v>1.5224996417500544E-2</v>
      </c>
      <c r="J23" s="47"/>
      <c r="K23" s="47">
        <f t="shared" si="14"/>
        <v>-2.9319026413071256E-4</v>
      </c>
      <c r="L23" s="47">
        <f t="shared" si="7"/>
        <v>2.8926034763439648E-4</v>
      </c>
      <c r="M23" s="47">
        <f t="shared" si="9"/>
        <v>6.3063930195277063E-4</v>
      </c>
      <c r="N23" s="47"/>
      <c r="O23" s="48">
        <v>2907</v>
      </c>
      <c r="P23" s="48">
        <v>3020</v>
      </c>
      <c r="Q23" s="48">
        <v>3138</v>
      </c>
      <c r="R23" s="48">
        <v>3336</v>
      </c>
      <c r="S23" s="48">
        <v>3392</v>
      </c>
      <c r="T23" s="48">
        <v>3409</v>
      </c>
      <c r="U23" s="48">
        <v>3689</v>
      </c>
      <c r="V23" s="48"/>
      <c r="W23" s="48">
        <v>2446108</v>
      </c>
      <c r="X23" s="48">
        <v>2464748</v>
      </c>
      <c r="Y23" s="48">
        <v>2496404</v>
      </c>
      <c r="Z23" s="48">
        <v>2523106</v>
      </c>
      <c r="AA23" s="48">
        <v>2551573</v>
      </c>
      <c r="AB23" s="48">
        <v>2581182</v>
      </c>
      <c r="AC23" s="48">
        <v>2617175</v>
      </c>
      <c r="AD23" s="48"/>
      <c r="AE23" s="48">
        <v>22288</v>
      </c>
      <c r="AF23" s="48">
        <v>23312</v>
      </c>
      <c r="AG23" s="48"/>
      <c r="AH23" s="48">
        <f t="shared" si="8"/>
        <v>1188.4184999190552</v>
      </c>
      <c r="AI23" s="48">
        <f t="shared" si="8"/>
        <v>1225.2773914412346</v>
      </c>
      <c r="AJ23" s="48">
        <f t="shared" si="8"/>
        <v>1257.0080804228803</v>
      </c>
      <c r="AK23" s="48">
        <f t="shared" si="8"/>
        <v>1322.1798846342563</v>
      </c>
      <c r="AL23" s="48">
        <f t="shared" si="8"/>
        <v>1329.3760358806117</v>
      </c>
      <c r="AM23" s="48">
        <f t="shared" si="8"/>
        <v>1320.7127587283655</v>
      </c>
      <c r="AN23" s="48">
        <f t="shared" si="8"/>
        <v>1409.5350903168492</v>
      </c>
      <c r="AO23" s="48">
        <f t="shared" si="10"/>
        <v>1441.8649735860031</v>
      </c>
      <c r="AP23" s="48"/>
      <c r="AQ23" s="249"/>
      <c r="AR23" s="246" t="s">
        <v>193</v>
      </c>
      <c r="AS23" s="245">
        <v>73150</v>
      </c>
      <c r="AT23" s="245">
        <v>73080</v>
      </c>
      <c r="AU23" s="245">
        <v>75980</v>
      </c>
      <c r="AV23" s="245">
        <v>73040</v>
      </c>
      <c r="AW23" s="245">
        <v>84830</v>
      </c>
      <c r="AX23" s="245">
        <v>87690</v>
      </c>
      <c r="AY23" s="245">
        <f t="shared" si="11"/>
        <v>90927.911918227692</v>
      </c>
      <c r="AZ23" s="245"/>
      <c r="BA23" s="46">
        <f t="shared" si="12"/>
        <v>3.6924528660368328E-2</v>
      </c>
      <c r="BB23" s="247"/>
      <c r="BC23" s="245"/>
      <c r="BD23" s="245"/>
      <c r="BE23" s="245"/>
    </row>
    <row r="24" spans="1:57" x14ac:dyDescent="0.25">
      <c r="A24" t="s">
        <v>196</v>
      </c>
      <c r="B24" s="47">
        <f t="shared" si="0"/>
        <v>2.3333484261539632E-2</v>
      </c>
      <c r="C24" s="47">
        <f t="shared" si="1"/>
        <v>2.2262897663048946E-2</v>
      </c>
      <c r="D24" s="47">
        <f t="shared" si="2"/>
        <v>2.237486339253679E-2</v>
      </c>
      <c r="E24" s="47">
        <f t="shared" si="3"/>
        <v>2.12187195644537E-2</v>
      </c>
      <c r="F24" s="47">
        <f t="shared" si="4"/>
        <v>1.9328095567976846E-2</v>
      </c>
      <c r="G24" s="47">
        <f t="shared" si="5"/>
        <v>1.9774881620619147E-2</v>
      </c>
      <c r="H24" s="47">
        <f t="shared" si="6"/>
        <v>2.083607841304053E-2</v>
      </c>
      <c r="I24" s="47">
        <f t="shared" si="13"/>
        <v>2.0739617844324067E-2</v>
      </c>
      <c r="J24" s="47"/>
      <c r="K24" s="47">
        <f t="shared" si="14"/>
        <v>-3.5586026409204843E-3</v>
      </c>
      <c r="L24" s="47">
        <f t="shared" si="7"/>
        <v>-2.497405848499102E-3</v>
      </c>
      <c r="M24" s="47">
        <f t="shared" si="9"/>
        <v>-2.5938664172155644E-3</v>
      </c>
      <c r="N24" s="47"/>
      <c r="O24" s="48">
        <v>3976</v>
      </c>
      <c r="P24" s="48">
        <v>3923</v>
      </c>
      <c r="Q24" s="48">
        <v>4072</v>
      </c>
      <c r="R24" s="48">
        <v>4374</v>
      </c>
      <c r="S24" s="48">
        <v>4398</v>
      </c>
      <c r="T24" s="48">
        <v>4548</v>
      </c>
      <c r="U24" s="48">
        <v>4940</v>
      </c>
      <c r="V24" s="48"/>
      <c r="W24" s="48">
        <v>2811863</v>
      </c>
      <c r="X24" s="48">
        <v>2833909</v>
      </c>
      <c r="Y24" s="48">
        <v>2861927</v>
      </c>
      <c r="Z24" s="48">
        <v>2882253</v>
      </c>
      <c r="AA24" s="48">
        <v>2906430</v>
      </c>
      <c r="AB24" s="48">
        <v>2933904</v>
      </c>
      <c r="AC24" s="48">
        <v>2872716</v>
      </c>
      <c r="AD24" s="48"/>
      <c r="AE24" s="48">
        <v>35691</v>
      </c>
      <c r="AF24" s="48">
        <v>36633</v>
      </c>
      <c r="AG24" s="48"/>
      <c r="AH24" s="48">
        <f t="shared" si="8"/>
        <v>1414.0091462493017</v>
      </c>
      <c r="AI24" s="48">
        <f t="shared" si="8"/>
        <v>1384.3069766883834</v>
      </c>
      <c r="AJ24" s="48">
        <f t="shared" si="8"/>
        <v>1422.8175631314145</v>
      </c>
      <c r="AK24" s="48">
        <f t="shared" si="8"/>
        <v>1517.5628232497286</v>
      </c>
      <c r="AL24" s="48">
        <f t="shared" si="8"/>
        <v>1513.1966020169073</v>
      </c>
      <c r="AM24" s="48">
        <f t="shared" si="8"/>
        <v>1550.152970240335</v>
      </c>
      <c r="AN24" s="48">
        <f t="shared" si="8"/>
        <v>1719.6270010679789</v>
      </c>
      <c r="AO24" s="48">
        <f t="shared" si="10"/>
        <v>1711.665992512771</v>
      </c>
      <c r="AP24" s="48"/>
      <c r="AQ24" s="249"/>
      <c r="AR24" s="246" t="s">
        <v>218</v>
      </c>
      <c r="AS24" s="245">
        <v>55660</v>
      </c>
      <c r="AT24" s="245">
        <v>56760</v>
      </c>
      <c r="AU24" s="245">
        <v>55630</v>
      </c>
      <c r="AV24" s="245">
        <v>55870</v>
      </c>
      <c r="AW24" s="245">
        <v>61980</v>
      </c>
      <c r="AX24" s="245">
        <v>64790</v>
      </c>
      <c r="AY24" s="245">
        <f t="shared" si="11"/>
        <v>66788.384008593202</v>
      </c>
      <c r="AZ24" s="245"/>
      <c r="BA24" s="46">
        <f t="shared" si="12"/>
        <v>3.084401927138769E-2</v>
      </c>
      <c r="BB24" s="247"/>
      <c r="BC24" s="245"/>
      <c r="BD24" s="245"/>
      <c r="BE24" s="245"/>
    </row>
    <row r="25" spans="1:57" x14ac:dyDescent="0.25">
      <c r="A25" t="s">
        <v>199</v>
      </c>
      <c r="B25" s="47">
        <f t="shared" si="0"/>
        <v>1.7754337306668876E-2</v>
      </c>
      <c r="C25" s="47">
        <f t="shared" si="1"/>
        <v>1.8164554580415493E-2</v>
      </c>
      <c r="D25" s="47">
        <f t="shared" si="2"/>
        <v>1.6605863216468588E-2</v>
      </c>
      <c r="E25" s="47">
        <f t="shared" si="3"/>
        <v>1.7245933973842317E-2</v>
      </c>
      <c r="F25" s="47">
        <f t="shared" si="4"/>
        <v>1.500181728373967E-2</v>
      </c>
      <c r="G25" s="47">
        <f t="shared" si="5"/>
        <v>1.5360478512170449E-2</v>
      </c>
      <c r="H25" s="47">
        <f t="shared" si="6"/>
        <v>1.6142432581531075E-2</v>
      </c>
      <c r="I25" s="47">
        <f t="shared" si="13"/>
        <v>1.6699123378045432E-2</v>
      </c>
      <c r="J25" s="47"/>
      <c r="K25" s="47">
        <f t="shared" si="14"/>
        <v>-2.3938587944984276E-3</v>
      </c>
      <c r="L25" s="47">
        <f t="shared" si="7"/>
        <v>-1.6119047251378013E-3</v>
      </c>
      <c r="M25" s="47">
        <f t="shared" si="9"/>
        <v>-1.0552139286234448E-3</v>
      </c>
      <c r="N25" s="47"/>
      <c r="O25" s="48">
        <v>1110</v>
      </c>
      <c r="P25" s="48">
        <v>1135</v>
      </c>
      <c r="Q25" s="48">
        <v>1128</v>
      </c>
      <c r="R25" s="48">
        <v>1186</v>
      </c>
      <c r="S25" s="48">
        <v>1195</v>
      </c>
      <c r="T25" s="48">
        <v>1198</v>
      </c>
      <c r="U25" s="48">
        <v>1326</v>
      </c>
      <c r="V25" s="48"/>
      <c r="W25" s="48">
        <v>855617</v>
      </c>
      <c r="X25" s="48">
        <v>864835</v>
      </c>
      <c r="Y25" s="48">
        <v>869643</v>
      </c>
      <c r="Z25" s="48">
        <v>877614</v>
      </c>
      <c r="AA25" s="48">
        <v>893116</v>
      </c>
      <c r="AB25" s="48">
        <v>905414</v>
      </c>
      <c r="AC25" s="48">
        <v>922734</v>
      </c>
      <c r="AD25" s="48"/>
      <c r="AE25" s="48">
        <v>10308</v>
      </c>
      <c r="AF25" s="48">
        <v>10746</v>
      </c>
      <c r="AG25" s="48"/>
      <c r="AH25" s="48">
        <f t="shared" si="8"/>
        <v>1297.3094269982948</v>
      </c>
      <c r="AI25" s="48">
        <f t="shared" si="8"/>
        <v>1312.3890684350195</v>
      </c>
      <c r="AJ25" s="48">
        <f t="shared" si="8"/>
        <v>1297.0839758383613</v>
      </c>
      <c r="AK25" s="48">
        <f t="shared" si="8"/>
        <v>1351.391386190284</v>
      </c>
      <c r="AL25" s="48">
        <f t="shared" si="8"/>
        <v>1338.0120835367411</v>
      </c>
      <c r="AM25" s="48">
        <f t="shared" si="8"/>
        <v>1323.1516190383625</v>
      </c>
      <c r="AN25" s="48">
        <f t="shared" si="8"/>
        <v>1437.0338580782761</v>
      </c>
      <c r="AO25" s="48">
        <f t="shared" si="10"/>
        <v>1486.591662890605</v>
      </c>
      <c r="AP25" s="48"/>
      <c r="AQ25" s="249"/>
      <c r="AR25" s="246" t="s">
        <v>223</v>
      </c>
      <c r="AS25" s="245">
        <v>51710</v>
      </c>
      <c r="AT25" s="245">
        <v>51190</v>
      </c>
      <c r="AU25" s="245">
        <v>57210</v>
      </c>
      <c r="AV25" s="245">
        <v>58320</v>
      </c>
      <c r="AW25" s="245">
        <v>57650</v>
      </c>
      <c r="AX25" s="245">
        <v>60740</v>
      </c>
      <c r="AY25" s="245">
        <f t="shared" si="11"/>
        <v>62727.046248765975</v>
      </c>
      <c r="AZ25" s="245"/>
      <c r="BA25" s="46">
        <f t="shared" si="12"/>
        <v>3.2713965241454979E-2</v>
      </c>
      <c r="BB25" s="247"/>
      <c r="BC25" s="245"/>
      <c r="BD25" s="245"/>
      <c r="BE25" s="245"/>
    </row>
    <row r="26" spans="1:57" x14ac:dyDescent="0.25">
      <c r="A26" t="s">
        <v>201</v>
      </c>
      <c r="B26" s="47">
        <f t="shared" si="0"/>
        <v>1.9581561965798511E-2</v>
      </c>
      <c r="C26" s="47">
        <f t="shared" si="1"/>
        <v>2.1209957140351392E-2</v>
      </c>
      <c r="D26" s="47">
        <f t="shared" si="2"/>
        <v>1.9662136646905227E-2</v>
      </c>
      <c r="E26" s="47">
        <f t="shared" si="3"/>
        <v>1.8643649631135392E-2</v>
      </c>
      <c r="F26" s="47">
        <f t="shared" si="4"/>
        <v>1.8355653263830943E-2</v>
      </c>
      <c r="G26" s="47">
        <f t="shared" si="5"/>
        <v>1.6123787364482906E-2</v>
      </c>
      <c r="H26" s="47">
        <f t="shared" si="6"/>
        <v>1.6493699526572644E-2</v>
      </c>
      <c r="I26" s="47">
        <f t="shared" si="13"/>
        <v>1.7047492340495126E-2</v>
      </c>
      <c r="J26" s="47"/>
      <c r="K26" s="47">
        <f t="shared" si="14"/>
        <v>-3.4577746013156052E-3</v>
      </c>
      <c r="L26" s="47">
        <f t="shared" si="7"/>
        <v>-3.0878624392258677E-3</v>
      </c>
      <c r="M26" s="47">
        <f t="shared" si="9"/>
        <v>-2.5340696253033854E-3</v>
      </c>
      <c r="N26" s="47"/>
      <c r="O26" s="48">
        <v>528</v>
      </c>
      <c r="P26" s="48">
        <v>527</v>
      </c>
      <c r="Q26" s="48">
        <v>530</v>
      </c>
      <c r="R26" s="48">
        <v>576</v>
      </c>
      <c r="S26" s="48">
        <v>558</v>
      </c>
      <c r="T26" s="48">
        <v>565</v>
      </c>
      <c r="U26" s="48">
        <v>608</v>
      </c>
      <c r="V26" s="48"/>
      <c r="W26" s="48">
        <v>385037</v>
      </c>
      <c r="X26" s="48">
        <v>387505</v>
      </c>
      <c r="Y26" s="48">
        <v>391338</v>
      </c>
      <c r="Z26" s="48">
        <v>392470</v>
      </c>
      <c r="AA26" s="48">
        <v>395002</v>
      </c>
      <c r="AB26" s="48">
        <v>397836</v>
      </c>
      <c r="AC26" s="48">
        <v>399751</v>
      </c>
      <c r="AD26" s="48"/>
      <c r="AE26" s="48">
        <v>5125</v>
      </c>
      <c r="AF26" s="48">
        <v>5148</v>
      </c>
      <c r="AG26" s="48"/>
      <c r="AH26" s="48">
        <f t="shared" si="8"/>
        <v>1371.2967844648697</v>
      </c>
      <c r="AI26" s="48">
        <f t="shared" si="8"/>
        <v>1359.9824518393311</v>
      </c>
      <c r="AJ26" s="48">
        <f t="shared" si="8"/>
        <v>1354.327972238832</v>
      </c>
      <c r="AK26" s="48">
        <f t="shared" si="8"/>
        <v>1467.6280989629781</v>
      </c>
      <c r="AL26" s="48">
        <f t="shared" si="8"/>
        <v>1412.6510751844294</v>
      </c>
      <c r="AM26" s="48">
        <f t="shared" si="8"/>
        <v>1420.1831910636545</v>
      </c>
      <c r="AN26" s="48">
        <f t="shared" si="8"/>
        <v>1520.9467893763867</v>
      </c>
      <c r="AO26" s="48">
        <f t="shared" si="10"/>
        <v>1572.0141318460442</v>
      </c>
      <c r="AP26" s="48"/>
      <c r="AQ26" s="249"/>
      <c r="AR26" s="246" t="s">
        <v>169</v>
      </c>
      <c r="AS26" s="245">
        <v>66550</v>
      </c>
      <c r="AT26" s="245">
        <v>63690</v>
      </c>
      <c r="AU26" s="245">
        <v>71140</v>
      </c>
      <c r="AV26" s="245">
        <v>75160</v>
      </c>
      <c r="AW26" s="245">
        <v>75740</v>
      </c>
      <c r="AX26" s="245">
        <v>90730</v>
      </c>
      <c r="AY26" s="245">
        <f t="shared" si="11"/>
        <v>96532.039313268731</v>
      </c>
      <c r="AZ26" s="245"/>
      <c r="BA26" s="46">
        <f t="shared" si="12"/>
        <v>6.3948410815262147E-2</v>
      </c>
      <c r="BB26" s="247"/>
      <c r="BC26" s="245"/>
      <c r="BD26" s="245"/>
      <c r="BE26" s="245"/>
    </row>
    <row r="27" spans="1:57" x14ac:dyDescent="0.25">
      <c r="A27" t="s">
        <v>203</v>
      </c>
      <c r="B27" s="47">
        <f t="shared" si="0"/>
        <v>2.2511127097865995E-2</v>
      </c>
      <c r="C27" s="47">
        <f t="shared" si="1"/>
        <v>2.0836064614529796E-2</v>
      </c>
      <c r="D27" s="47">
        <f t="shared" si="2"/>
        <v>2.0235427590056719E-2</v>
      </c>
      <c r="E27" s="47">
        <f t="shared" si="3"/>
        <v>2.2859249672688379E-2</v>
      </c>
      <c r="F27" s="47">
        <f t="shared" si="4"/>
        <v>1.8556872841449565E-2</v>
      </c>
      <c r="G27" s="47">
        <f t="shared" si="5"/>
        <v>1.9209433011327725E-2</v>
      </c>
      <c r="H27" s="47">
        <f t="shared" si="6"/>
        <v>1.9349646003821434E-2</v>
      </c>
      <c r="I27" s="47">
        <f t="shared" si="13"/>
        <v>2.0105585824281062E-2</v>
      </c>
      <c r="J27" s="47"/>
      <c r="K27" s="47">
        <f t="shared" si="14"/>
        <v>-3.3016940865382705E-3</v>
      </c>
      <c r="L27" s="47">
        <f t="shared" si="7"/>
        <v>-3.161481094044561E-3</v>
      </c>
      <c r="M27" s="47">
        <f t="shared" si="9"/>
        <v>-2.4055412735849331E-3</v>
      </c>
      <c r="N27" s="47"/>
      <c r="O27" s="48">
        <v>584</v>
      </c>
      <c r="P27" s="48">
        <v>596</v>
      </c>
      <c r="Q27" s="48">
        <v>617</v>
      </c>
      <c r="R27" s="48">
        <v>644</v>
      </c>
      <c r="S27" s="48">
        <v>647</v>
      </c>
      <c r="T27" s="48">
        <v>665</v>
      </c>
      <c r="U27" s="48">
        <v>716</v>
      </c>
      <c r="V27" s="48"/>
      <c r="W27" s="48">
        <v>403715</v>
      </c>
      <c r="X27" s="48">
        <v>407526</v>
      </c>
      <c r="Y27" s="48">
        <v>412655</v>
      </c>
      <c r="Z27" s="48">
        <v>419357</v>
      </c>
      <c r="AA27" s="48">
        <v>426545</v>
      </c>
      <c r="AB27" s="48">
        <v>433543</v>
      </c>
      <c r="AC27" s="48">
        <v>443709</v>
      </c>
      <c r="AD27" s="48"/>
      <c r="AE27" s="48">
        <v>5057</v>
      </c>
      <c r="AF27" s="48">
        <v>5349</v>
      </c>
      <c r="AG27" s="48"/>
      <c r="AH27" s="48">
        <f t="shared" si="8"/>
        <v>1446.5650273088688</v>
      </c>
      <c r="AI27" s="48">
        <f t="shared" si="8"/>
        <v>1462.4833752938464</v>
      </c>
      <c r="AJ27" s="48">
        <f t="shared" si="8"/>
        <v>1495.1957446292909</v>
      </c>
      <c r="AK27" s="48">
        <f t="shared" si="8"/>
        <v>1535.6843930112052</v>
      </c>
      <c r="AL27" s="48">
        <f t="shared" si="8"/>
        <v>1516.8387860600874</v>
      </c>
      <c r="AM27" s="48">
        <f t="shared" si="8"/>
        <v>1533.8732259545188</v>
      </c>
      <c r="AN27" s="48">
        <f t="shared" si="8"/>
        <v>1613.6702207978653</v>
      </c>
      <c r="AO27" s="48">
        <f t="shared" si="10"/>
        <v>1676.7120757625544</v>
      </c>
      <c r="AP27" s="48"/>
      <c r="AQ27" s="249"/>
      <c r="AR27" s="246" t="s">
        <v>211</v>
      </c>
      <c r="AS27" s="245">
        <v>95570</v>
      </c>
      <c r="AT27" s="245">
        <v>94790</v>
      </c>
      <c r="AU27" s="245">
        <v>97330</v>
      </c>
      <c r="AV27" s="245">
        <v>108200</v>
      </c>
      <c r="AW27" s="245">
        <v>102000</v>
      </c>
      <c r="AX27" s="245">
        <v>109700</v>
      </c>
      <c r="AY27" s="245">
        <f t="shared" si="11"/>
        <v>112767.41780379089</v>
      </c>
      <c r="AZ27" s="245"/>
      <c r="BA27" s="46">
        <f t="shared" si="12"/>
        <v>2.7961876060081048E-2</v>
      </c>
      <c r="BB27" s="247"/>
      <c r="BC27" s="245"/>
      <c r="BD27" s="245"/>
      <c r="BE27" s="245"/>
    </row>
    <row r="28" spans="1:57" x14ac:dyDescent="0.25">
      <c r="A28" t="s">
        <v>207</v>
      </c>
      <c r="B28" s="47">
        <f t="shared" si="0"/>
        <v>1.9274520598230833E-2</v>
      </c>
      <c r="C28" s="47">
        <f t="shared" si="1"/>
        <v>2.0065171484971979E-2</v>
      </c>
      <c r="D28" s="47">
        <f t="shared" si="2"/>
        <v>2.075809171437808E-2</v>
      </c>
      <c r="E28" s="47">
        <f t="shared" si="3"/>
        <v>1.9160155635207059E-2</v>
      </c>
      <c r="F28" s="47">
        <f t="shared" si="4"/>
        <v>1.9189979728531377E-2</v>
      </c>
      <c r="G28" s="47">
        <f t="shared" si="5"/>
        <v>2.1079656716398179E-2</v>
      </c>
      <c r="H28" s="47">
        <f t="shared" si="6"/>
        <v>2.1652020609908906E-2</v>
      </c>
      <c r="I28" s="47">
        <f t="shared" si="13"/>
        <v>2.2065753795053777E-2</v>
      </c>
      <c r="J28" s="47"/>
      <c r="K28" s="47">
        <f t="shared" si="14"/>
        <v>1.8051361181673463E-3</v>
      </c>
      <c r="L28" s="47">
        <f t="shared" si="7"/>
        <v>2.3775000116780728E-3</v>
      </c>
      <c r="M28" s="47">
        <f t="shared" si="9"/>
        <v>2.791233196822944E-3</v>
      </c>
      <c r="N28" s="47"/>
      <c r="O28" s="48">
        <v>628</v>
      </c>
      <c r="P28" s="48">
        <v>627</v>
      </c>
      <c r="Q28" s="48">
        <v>647</v>
      </c>
      <c r="R28" s="48">
        <v>714</v>
      </c>
      <c r="S28" s="48">
        <v>776</v>
      </c>
      <c r="T28" s="48">
        <v>857</v>
      </c>
      <c r="U28" s="48">
        <v>912</v>
      </c>
      <c r="V28" s="48"/>
      <c r="W28" s="48">
        <v>439168</v>
      </c>
      <c r="X28" s="48">
        <v>446275</v>
      </c>
      <c r="Y28" s="48">
        <v>453757</v>
      </c>
      <c r="Z28" s="48">
        <v>461484</v>
      </c>
      <c r="AA28" s="48">
        <v>468355</v>
      </c>
      <c r="AB28" s="48">
        <v>473507</v>
      </c>
      <c r="AC28" s="48">
        <v>476449</v>
      </c>
      <c r="AD28" s="48"/>
      <c r="AE28" s="48">
        <v>5004</v>
      </c>
      <c r="AF28" s="48">
        <v>5327</v>
      </c>
      <c r="AG28" s="48"/>
      <c r="AH28" s="48">
        <f t="shared" si="8"/>
        <v>1429.9766831827455</v>
      </c>
      <c r="AI28" s="48">
        <f t="shared" si="8"/>
        <v>1404.9633073777379</v>
      </c>
      <c r="AJ28" s="48">
        <f t="shared" si="8"/>
        <v>1425.8733198606303</v>
      </c>
      <c r="AK28" s="48">
        <f t="shared" si="8"/>
        <v>1547.18256754297</v>
      </c>
      <c r="AL28" s="48">
        <f t="shared" si="8"/>
        <v>1656.862849761399</v>
      </c>
      <c r="AM28" s="48">
        <f t="shared" si="8"/>
        <v>1809.8993256699478</v>
      </c>
      <c r="AN28" s="48">
        <f t="shared" si="8"/>
        <v>1914.1608021005395</v>
      </c>
      <c r="AO28" s="48">
        <f t="shared" si="10"/>
        <v>1950.7371503222889</v>
      </c>
      <c r="AP28" s="48"/>
      <c r="AQ28" s="249"/>
      <c r="AR28" s="246" t="s">
        <v>170</v>
      </c>
      <c r="AS28" s="245">
        <v>87710</v>
      </c>
      <c r="AT28" s="245">
        <v>87810</v>
      </c>
      <c r="AU28" s="245">
        <v>86570</v>
      </c>
      <c r="AV28" s="245">
        <v>93550</v>
      </c>
      <c r="AW28" s="245">
        <v>106500</v>
      </c>
      <c r="AX28" s="245">
        <v>113900</v>
      </c>
      <c r="AY28" s="245">
        <f t="shared" si="11"/>
        <v>120010.33462528027</v>
      </c>
      <c r="AZ28" s="245"/>
      <c r="BA28" s="46">
        <f t="shared" si="12"/>
        <v>5.3646484857596821E-2</v>
      </c>
      <c r="BB28" s="247"/>
      <c r="BC28" s="245"/>
      <c r="BD28" s="245"/>
      <c r="BE28" s="245"/>
    </row>
    <row r="29" spans="1:57" x14ac:dyDescent="0.25">
      <c r="A29" t="s">
        <v>399</v>
      </c>
      <c r="B29" s="47">
        <f t="shared" si="0"/>
        <v>1.2593782076084725E-2</v>
      </c>
      <c r="C29" s="47">
        <f t="shared" si="1"/>
        <v>1.2097603219259944E-2</v>
      </c>
      <c r="D29" s="47">
        <f t="shared" si="2"/>
        <v>1.2240551308395711E-2</v>
      </c>
      <c r="E29" s="47">
        <f t="shared" si="3"/>
        <v>1.1454280058263976E-2</v>
      </c>
      <c r="F29" s="47">
        <f t="shared" si="4"/>
        <v>1.1225964239086441E-2</v>
      </c>
      <c r="G29" s="47">
        <f t="shared" si="5"/>
        <v>1.2960911566952057E-2</v>
      </c>
      <c r="H29" s="47">
        <f t="shared" si="6"/>
        <v>1.5670883009395006E-2</v>
      </c>
      <c r="I29" s="47">
        <f t="shared" si="13"/>
        <v>1.8437943234213758E-2</v>
      </c>
      <c r="J29" s="47"/>
      <c r="K29" s="47">
        <f t="shared" si="14"/>
        <v>3.6712949086733192E-4</v>
      </c>
      <c r="L29" s="47">
        <f t="shared" si="7"/>
        <v>3.0771009333102808E-3</v>
      </c>
      <c r="M29" s="47">
        <f t="shared" si="9"/>
        <v>5.8441611581290329E-3</v>
      </c>
      <c r="N29" s="47"/>
      <c r="O29" s="48">
        <v>331</v>
      </c>
      <c r="P29" s="48">
        <v>310</v>
      </c>
      <c r="Q29" s="48">
        <v>331</v>
      </c>
      <c r="R29" s="48">
        <v>357</v>
      </c>
      <c r="S29" s="48">
        <v>390</v>
      </c>
      <c r="T29" s="48">
        <v>433</v>
      </c>
      <c r="U29" s="48">
        <v>546</v>
      </c>
      <c r="V29" s="48"/>
      <c r="W29" s="48">
        <v>282277</v>
      </c>
      <c r="X29" s="48">
        <v>290466</v>
      </c>
      <c r="Y29" s="48">
        <v>298337</v>
      </c>
      <c r="Z29" s="48">
        <v>306464</v>
      </c>
      <c r="AA29" s="48">
        <v>312981</v>
      </c>
      <c r="AB29" s="48">
        <v>318780</v>
      </c>
      <c r="AC29" s="48">
        <v>324687</v>
      </c>
      <c r="AD29" s="48"/>
      <c r="AE29" s="48">
        <v>2547</v>
      </c>
      <c r="AF29" s="48">
        <v>2490</v>
      </c>
      <c r="AG29" s="48"/>
      <c r="AH29" s="48">
        <f t="shared" si="8"/>
        <v>1172.6070491042487</v>
      </c>
      <c r="AI29" s="48">
        <f t="shared" si="8"/>
        <v>1067.2505560031123</v>
      </c>
      <c r="AJ29" s="48">
        <f t="shared" si="8"/>
        <v>1109.4835705929872</v>
      </c>
      <c r="AK29" s="48">
        <f t="shared" si="8"/>
        <v>1164.9002819254463</v>
      </c>
      <c r="AL29" s="48">
        <f t="shared" si="8"/>
        <v>1246.0820305385951</v>
      </c>
      <c r="AM29" s="48">
        <f t="shared" si="8"/>
        <v>1358.3035322165756</v>
      </c>
      <c r="AN29" s="48">
        <f t="shared" si="8"/>
        <v>1681.6195289617385</v>
      </c>
      <c r="AO29" s="48">
        <f t="shared" si="10"/>
        <v>1978.5487134294433</v>
      </c>
      <c r="AP29" s="48"/>
      <c r="AQ29" s="249"/>
      <c r="AR29" s="246" t="s">
        <v>181</v>
      </c>
      <c r="AS29" s="245">
        <v>64120</v>
      </c>
      <c r="AT29" s="245">
        <v>64390</v>
      </c>
      <c r="AU29" s="245">
        <v>64490</v>
      </c>
      <c r="AV29" s="245">
        <v>68990</v>
      </c>
      <c r="AW29" s="245">
        <v>76960</v>
      </c>
      <c r="AX29" s="245">
        <v>79460</v>
      </c>
      <c r="AY29" s="245">
        <f t="shared" si="11"/>
        <v>82942.967654356064</v>
      </c>
      <c r="AZ29" s="245"/>
      <c r="BA29" s="46">
        <f t="shared" si="12"/>
        <v>4.3832968214901458E-2</v>
      </c>
      <c r="BB29" s="247"/>
      <c r="BC29" s="245"/>
      <c r="BD29" s="245"/>
      <c r="BE29" s="245"/>
    </row>
    <row r="30" spans="1:57" x14ac:dyDescent="0.25">
      <c r="A30" t="s">
        <v>209</v>
      </c>
      <c r="B30" s="47">
        <f t="shared" si="0"/>
        <v>2.6654924021940338E-2</v>
      </c>
      <c r="C30" s="47">
        <f t="shared" si="1"/>
        <v>2.6724132221415221E-2</v>
      </c>
      <c r="D30" s="47">
        <f t="shared" si="2"/>
        <v>2.6197389354161885E-2</v>
      </c>
      <c r="E30" s="47">
        <f t="shared" si="3"/>
        <v>2.8362001206505186E-2</v>
      </c>
      <c r="F30" s="47">
        <f t="shared" si="4"/>
        <v>2.7981368223074291E-2</v>
      </c>
      <c r="G30" s="47">
        <f t="shared" si="5"/>
        <v>2.4766023900783526E-2</v>
      </c>
      <c r="H30" s="47">
        <f t="shared" si="6"/>
        <v>2.5240159675184816E-2</v>
      </c>
      <c r="I30" s="47">
        <f t="shared" si="13"/>
        <v>2.5442922144002313E-2</v>
      </c>
      <c r="J30" s="47"/>
      <c r="K30" s="47">
        <f t="shared" si="14"/>
        <v>-1.8889001211568127E-3</v>
      </c>
      <c r="L30" s="47">
        <f t="shared" si="7"/>
        <v>-1.4147643467555225E-3</v>
      </c>
      <c r="M30" s="47">
        <f t="shared" si="9"/>
        <v>-1.2120018779380251E-3</v>
      </c>
      <c r="N30" s="47"/>
      <c r="O30" s="48">
        <v>14883</v>
      </c>
      <c r="P30" s="48">
        <v>15021</v>
      </c>
      <c r="Q30" s="48">
        <v>15518</v>
      </c>
      <c r="R30" s="48">
        <v>18664</v>
      </c>
      <c r="S30" s="48">
        <v>20652</v>
      </c>
      <c r="T30" s="48">
        <v>19561</v>
      </c>
      <c r="U30" s="48">
        <v>21329</v>
      </c>
      <c r="V30" s="48"/>
      <c r="W30" s="48">
        <v>9565845</v>
      </c>
      <c r="X30" s="48">
        <v>9731237</v>
      </c>
      <c r="Y30" s="48">
        <v>9917112</v>
      </c>
      <c r="Z30" s="48">
        <v>10066752</v>
      </c>
      <c r="AA30" s="48">
        <v>10222473</v>
      </c>
      <c r="AB30" s="48">
        <v>10443370</v>
      </c>
      <c r="AC30" s="48">
        <v>10609219</v>
      </c>
      <c r="AD30" s="48"/>
      <c r="AE30" s="48">
        <v>127182</v>
      </c>
      <c r="AF30" s="48">
        <v>139930</v>
      </c>
      <c r="AG30" s="48"/>
      <c r="AH30" s="48">
        <f t="shared" si="8"/>
        <v>1555.8479151606575</v>
      </c>
      <c r="AI30" s="48">
        <f t="shared" si="8"/>
        <v>1543.5858771089431</v>
      </c>
      <c r="AJ30" s="48">
        <f t="shared" si="8"/>
        <v>1564.7700661240895</v>
      </c>
      <c r="AK30" s="48">
        <f t="shared" si="8"/>
        <v>1854.0240188692439</v>
      </c>
      <c r="AL30" s="48">
        <f t="shared" si="8"/>
        <v>2020.2547857059637</v>
      </c>
      <c r="AM30" s="48">
        <f t="shared" si="8"/>
        <v>1873.0543876162581</v>
      </c>
      <c r="AN30" s="48">
        <f t="shared" si="8"/>
        <v>2010.4213137649435</v>
      </c>
      <c r="AO30" s="48">
        <f t="shared" si="10"/>
        <v>2026.5716865909551</v>
      </c>
      <c r="AP30" s="48"/>
      <c r="AQ30" s="249"/>
      <c r="AR30" s="246" t="s">
        <v>195</v>
      </c>
      <c r="AS30" s="245">
        <v>81430</v>
      </c>
      <c r="AT30" s="245">
        <v>78750</v>
      </c>
      <c r="AU30" s="245">
        <v>80440</v>
      </c>
      <c r="AV30" s="245">
        <v>90390</v>
      </c>
      <c r="AW30" s="245">
        <v>90340</v>
      </c>
      <c r="AX30" s="245">
        <v>92350</v>
      </c>
      <c r="AY30" s="245">
        <f t="shared" si="11"/>
        <v>94703.797232335317</v>
      </c>
      <c r="AZ30" s="245"/>
      <c r="BA30" s="46">
        <f t="shared" si="12"/>
        <v>2.5487788114080256E-2</v>
      </c>
      <c r="BB30" s="247"/>
      <c r="BC30" s="245"/>
      <c r="BD30" s="245"/>
      <c r="BE30" s="245"/>
    </row>
    <row r="31" spans="1:57" x14ac:dyDescent="0.25">
      <c r="A31" t="s">
        <v>210</v>
      </c>
      <c r="B31" s="47">
        <f t="shared" si="0"/>
        <v>2.7935618153246002E-2</v>
      </c>
      <c r="C31" s="47">
        <f t="shared" si="1"/>
        <v>2.6303744274734669E-2</v>
      </c>
      <c r="D31" s="47">
        <f t="shared" si="2"/>
        <v>2.6169414701217055E-2</v>
      </c>
      <c r="E31" s="47">
        <f t="shared" si="3"/>
        <v>2.6798367248224715E-2</v>
      </c>
      <c r="F31" s="47">
        <f t="shared" si="4"/>
        <v>2.3475798547962275E-2</v>
      </c>
      <c r="G31" s="47">
        <f t="shared" si="5"/>
        <v>2.2349125534846345E-2</v>
      </c>
      <c r="H31" s="47">
        <f t="shared" si="6"/>
        <v>2.2089562264639474E-2</v>
      </c>
      <c r="I31" s="47">
        <f t="shared" si="13"/>
        <v>2.2700253101751024E-2</v>
      </c>
      <c r="J31" s="47"/>
      <c r="K31" s="47">
        <f t="shared" si="14"/>
        <v>-5.5864926183996563E-3</v>
      </c>
      <c r="L31" s="47">
        <f t="shared" si="7"/>
        <v>-5.8460558886065279E-3</v>
      </c>
      <c r="M31" s="47">
        <f t="shared" si="9"/>
        <v>-5.2353650514949772E-3</v>
      </c>
      <c r="N31" s="47"/>
      <c r="O31" s="48">
        <v>6979</v>
      </c>
      <c r="P31" s="48">
        <v>6996</v>
      </c>
      <c r="Q31" s="48">
        <v>7340</v>
      </c>
      <c r="R31" s="48">
        <v>8438</v>
      </c>
      <c r="S31" s="48">
        <v>7997</v>
      </c>
      <c r="T31" s="48">
        <v>8740</v>
      </c>
      <c r="U31" s="48">
        <v>9334</v>
      </c>
      <c r="V31" s="48"/>
      <c r="W31" s="48">
        <v>4411521</v>
      </c>
      <c r="X31" s="48">
        <v>4487426</v>
      </c>
      <c r="Y31" s="48">
        <v>4560652</v>
      </c>
      <c r="Z31" s="48">
        <v>4648899</v>
      </c>
      <c r="AA31" s="48">
        <v>4703793</v>
      </c>
      <c r="AB31" s="48">
        <v>4815500</v>
      </c>
      <c r="AC31" s="48">
        <v>4841262</v>
      </c>
      <c r="AD31" s="48"/>
      <c r="AE31" s="48">
        <v>59331</v>
      </c>
      <c r="AF31" s="48">
        <v>63359</v>
      </c>
      <c r="AG31" s="48"/>
      <c r="AH31" s="48">
        <f t="shared" si="8"/>
        <v>1581.9940560183211</v>
      </c>
      <c r="AI31" s="48">
        <f t="shared" si="8"/>
        <v>1559.022923163524</v>
      </c>
      <c r="AJ31" s="48">
        <f t="shared" si="8"/>
        <v>1609.4190041248489</v>
      </c>
      <c r="AK31" s="48">
        <f t="shared" si="8"/>
        <v>1815.0534137222598</v>
      </c>
      <c r="AL31" s="48">
        <f t="shared" si="8"/>
        <v>1700.1173308434279</v>
      </c>
      <c r="AM31" s="48">
        <f t="shared" si="8"/>
        <v>1814.9724846848717</v>
      </c>
      <c r="AN31" s="48">
        <f t="shared" si="8"/>
        <v>1928.0096801205966</v>
      </c>
      <c r="AO31" s="48">
        <f t="shared" si="10"/>
        <v>1981.3116800156695</v>
      </c>
      <c r="AP31" s="48"/>
      <c r="AQ31" s="249"/>
      <c r="AR31" s="246" t="s">
        <v>219</v>
      </c>
      <c r="AS31" s="245">
        <v>44790</v>
      </c>
      <c r="AT31" s="245">
        <v>45130</v>
      </c>
      <c r="AU31" s="245">
        <v>46640</v>
      </c>
      <c r="AV31" s="245">
        <v>48610</v>
      </c>
      <c r="AW31" s="245">
        <v>55060</v>
      </c>
      <c r="AX31" s="245">
        <v>55980</v>
      </c>
      <c r="AY31" s="245">
        <f t="shared" si="11"/>
        <v>58533.333820800144</v>
      </c>
      <c r="AZ31" s="245"/>
      <c r="BA31" s="46">
        <f t="shared" si="12"/>
        <v>4.5611536634514893E-2</v>
      </c>
      <c r="BB31" s="247"/>
      <c r="BC31" s="245"/>
      <c r="BD31" s="245"/>
      <c r="BE31" s="245"/>
    </row>
    <row r="32" spans="1:57" x14ac:dyDescent="0.25">
      <c r="A32" t="s">
        <v>211</v>
      </c>
      <c r="B32" s="47">
        <f t="shared" si="0"/>
        <v>1.6060904274087538E-2</v>
      </c>
      <c r="C32" s="47">
        <f t="shared" si="1"/>
        <v>1.5760225920764138E-2</v>
      </c>
      <c r="D32" s="47">
        <f t="shared" si="2"/>
        <v>1.5733403975519578E-2</v>
      </c>
      <c r="E32" s="47">
        <f t="shared" si="3"/>
        <v>1.5525659333699581E-2</v>
      </c>
      <c r="F32" s="47">
        <f t="shared" si="4"/>
        <v>1.7464236122211829E-2</v>
      </c>
      <c r="G32" s="47">
        <f t="shared" si="5"/>
        <v>1.8144136393387644E-2</v>
      </c>
      <c r="H32" s="47">
        <f t="shared" si="6"/>
        <v>1.9659946932329864E-2</v>
      </c>
      <c r="I32" s="47">
        <f t="shared" si="13"/>
        <v>2.0219380979876717E-2</v>
      </c>
      <c r="J32" s="47"/>
      <c r="K32" s="47">
        <f t="shared" si="14"/>
        <v>2.0832321193001054E-3</v>
      </c>
      <c r="L32" s="47">
        <f t="shared" si="7"/>
        <v>3.5990426582423254E-3</v>
      </c>
      <c r="M32" s="47">
        <f t="shared" si="9"/>
        <v>4.1584767057891783E-3</v>
      </c>
      <c r="N32" s="47"/>
      <c r="O32" s="48">
        <v>3611</v>
      </c>
      <c r="P32" s="48">
        <v>3551</v>
      </c>
      <c r="Q32" s="48">
        <v>3669</v>
      </c>
      <c r="R32" s="48">
        <v>4058</v>
      </c>
      <c r="S32" s="48">
        <v>4333</v>
      </c>
      <c r="T32" s="48">
        <v>4880</v>
      </c>
      <c r="U32" s="48">
        <v>5461</v>
      </c>
      <c r="V32" s="48"/>
      <c r="W32" s="48">
        <v>2352534</v>
      </c>
      <c r="X32" s="48">
        <v>2376981</v>
      </c>
      <c r="Y32" s="48">
        <v>2395953</v>
      </c>
      <c r="Z32" s="48">
        <v>2415654</v>
      </c>
      <c r="AA32" s="48">
        <v>2432422</v>
      </c>
      <c r="AB32" s="48">
        <v>2451754</v>
      </c>
      <c r="AC32" s="48">
        <v>2463237</v>
      </c>
      <c r="AD32" s="48"/>
      <c r="AE32" s="48">
        <v>27534</v>
      </c>
      <c r="AF32" s="48">
        <v>28032</v>
      </c>
      <c r="AG32" s="48"/>
      <c r="AH32" s="48">
        <f t="shared" si="8"/>
        <v>1534.9406214745461</v>
      </c>
      <c r="AI32" s="48">
        <f t="shared" si="8"/>
        <v>1493.9118150292325</v>
      </c>
      <c r="AJ32" s="48">
        <f t="shared" si="8"/>
        <v>1531.3322089373205</v>
      </c>
      <c r="AK32" s="48">
        <f t="shared" si="8"/>
        <v>1679.8763399062946</v>
      </c>
      <c r="AL32" s="48">
        <f t="shared" si="8"/>
        <v>1781.3520844656066</v>
      </c>
      <c r="AM32" s="48">
        <f t="shared" si="8"/>
        <v>1990.4117623546244</v>
      </c>
      <c r="AN32" s="48">
        <f t="shared" si="8"/>
        <v>2217.0014497183988</v>
      </c>
      <c r="AO32" s="48">
        <f t="shared" si="10"/>
        <v>2280.0873826917805</v>
      </c>
      <c r="AP32" s="48"/>
      <c r="AQ32" s="249"/>
      <c r="AR32" s="246" t="s">
        <v>196</v>
      </c>
      <c r="AS32" s="245">
        <v>60600</v>
      </c>
      <c r="AT32" s="245">
        <v>62180</v>
      </c>
      <c r="AU32" s="245">
        <v>63590</v>
      </c>
      <c r="AV32" s="245">
        <v>71520</v>
      </c>
      <c r="AW32" s="245">
        <v>78290</v>
      </c>
      <c r="AX32" s="245">
        <v>78390</v>
      </c>
      <c r="AY32" s="245">
        <f t="shared" si="11"/>
        <v>82531.22142176851</v>
      </c>
      <c r="AZ32" s="245"/>
      <c r="BA32" s="46">
        <f t="shared" si="12"/>
        <v>5.2828440129716991E-2</v>
      </c>
      <c r="BB32" s="247"/>
      <c r="BC32" s="245"/>
      <c r="BD32" s="245"/>
      <c r="BE32" s="245"/>
    </row>
    <row r="33" spans="1:57" x14ac:dyDescent="0.25">
      <c r="A33" t="s">
        <v>212</v>
      </c>
      <c r="B33" s="47">
        <f t="shared" si="0"/>
        <v>2.4181601666394947E-2</v>
      </c>
      <c r="C33" s="47">
        <f t="shared" si="1"/>
        <v>2.351930675129504E-2</v>
      </c>
      <c r="D33" s="47">
        <f t="shared" si="2"/>
        <v>2.2969029107219926E-2</v>
      </c>
      <c r="E33" s="47">
        <f t="shared" si="3"/>
        <v>2.2955616421304316E-2</v>
      </c>
      <c r="F33" s="47">
        <f t="shared" si="4"/>
        <v>2.2351155787215932E-2</v>
      </c>
      <c r="G33" s="47">
        <f t="shared" si="5"/>
        <v>2.5618332439475065E-2</v>
      </c>
      <c r="H33" s="47">
        <f t="shared" si="6"/>
        <v>2.5621847766792282E-2</v>
      </c>
      <c r="I33" s="47">
        <f t="shared" si="13"/>
        <v>2.6510193066189798E-2</v>
      </c>
      <c r="J33" s="47"/>
      <c r="K33" s="47">
        <f t="shared" si="14"/>
        <v>1.4367307730801179E-3</v>
      </c>
      <c r="L33" s="47">
        <f t="shared" si="7"/>
        <v>1.4402461003973355E-3</v>
      </c>
      <c r="M33" s="47">
        <f t="shared" si="9"/>
        <v>2.3285913997948514E-3</v>
      </c>
      <c r="N33" s="47"/>
      <c r="O33" s="48">
        <v>6834</v>
      </c>
      <c r="P33" s="48">
        <v>6673</v>
      </c>
      <c r="Q33" s="48">
        <v>6897</v>
      </c>
      <c r="R33" s="48">
        <v>7253</v>
      </c>
      <c r="S33" s="48">
        <v>7593</v>
      </c>
      <c r="T33" s="48">
        <v>8727</v>
      </c>
      <c r="U33" s="48">
        <v>9052</v>
      </c>
      <c r="V33" s="48"/>
      <c r="W33" s="48">
        <v>4620856</v>
      </c>
      <c r="X33" s="48">
        <v>4695091</v>
      </c>
      <c r="Y33" s="48">
        <v>4774589</v>
      </c>
      <c r="Z33" s="48">
        <v>4855656</v>
      </c>
      <c r="AA33" s="48">
        <v>4951377</v>
      </c>
      <c r="AB33" s="48">
        <v>5067755</v>
      </c>
      <c r="AC33" s="48">
        <v>5157383</v>
      </c>
      <c r="AD33" s="48"/>
      <c r="AE33" s="48">
        <v>59853</v>
      </c>
      <c r="AF33" s="48">
        <v>64564</v>
      </c>
      <c r="AG33" s="48"/>
      <c r="AH33" s="48">
        <f t="shared" si="8"/>
        <v>1478.9467579167149</v>
      </c>
      <c r="AI33" s="48">
        <f t="shared" si="8"/>
        <v>1421.2717069807593</v>
      </c>
      <c r="AJ33" s="48">
        <f t="shared" si="8"/>
        <v>1444.5222405530612</v>
      </c>
      <c r="AK33" s="48">
        <f t="shared" si="8"/>
        <v>1493.7219605342718</v>
      </c>
      <c r="AL33" s="48">
        <f t="shared" si="8"/>
        <v>1533.5127985608851</v>
      </c>
      <c r="AM33" s="48">
        <f t="shared" si="8"/>
        <v>1722.0643065815138</v>
      </c>
      <c r="AN33" s="48">
        <f t="shared" si="8"/>
        <v>1755.1537281601929</v>
      </c>
      <c r="AO33" s="48">
        <f t="shared" si="10"/>
        <v>1816.0073628520647</v>
      </c>
      <c r="AP33" s="48"/>
      <c r="AQ33" s="249"/>
      <c r="AR33" s="246" t="s">
        <v>230</v>
      </c>
      <c r="AS33" s="245">
        <v>60190</v>
      </c>
      <c r="AT33" s="245">
        <v>56740</v>
      </c>
      <c r="AU33" s="245">
        <v>65000</v>
      </c>
      <c r="AV33" s="245">
        <v>72970</v>
      </c>
      <c r="AW33" s="245">
        <v>79220</v>
      </c>
      <c r="AX33" s="245">
        <v>81920</v>
      </c>
      <c r="AY33" s="245">
        <f t="shared" si="11"/>
        <v>87129.067033884901</v>
      </c>
      <c r="AZ33" s="245"/>
      <c r="BA33" s="46">
        <f t="shared" si="12"/>
        <v>6.3587244065977711E-2</v>
      </c>
      <c r="BB33" s="247"/>
      <c r="BC33" s="245"/>
      <c r="BD33" s="245"/>
      <c r="BE33" s="245"/>
    </row>
    <row r="34" spans="1:57" x14ac:dyDescent="0.25">
      <c r="A34" t="s">
        <v>213</v>
      </c>
      <c r="B34" s="47">
        <f t="shared" si="0"/>
        <v>2.799721900165502E-2</v>
      </c>
      <c r="C34" s="47">
        <f t="shared" si="1"/>
        <v>2.7476946990328911E-2</v>
      </c>
      <c r="D34" s="47">
        <f t="shared" si="2"/>
        <v>2.6600181711698978E-2</v>
      </c>
      <c r="E34" s="47">
        <f t="shared" si="3"/>
        <v>2.8727336649772794E-2</v>
      </c>
      <c r="F34" s="47">
        <f t="shared" si="4"/>
        <v>2.4297091800398594E-2</v>
      </c>
      <c r="G34" s="47">
        <f t="shared" si="5"/>
        <v>2.3365991876262673E-2</v>
      </c>
      <c r="H34" s="47">
        <f t="shared" si="6"/>
        <v>2.4096775718983606E-2</v>
      </c>
      <c r="I34" s="47">
        <f t="shared" si="13"/>
        <v>2.4965226114640818E-2</v>
      </c>
      <c r="J34" s="47"/>
      <c r="K34" s="47">
        <f t="shared" si="14"/>
        <v>-4.6312271253923475E-3</v>
      </c>
      <c r="L34" s="47">
        <f t="shared" si="7"/>
        <v>-3.900443282671414E-3</v>
      </c>
      <c r="M34" s="47">
        <f t="shared" si="9"/>
        <v>-3.0319928870142024E-3</v>
      </c>
      <c r="N34" s="47"/>
      <c r="O34" s="48">
        <v>4048</v>
      </c>
      <c r="P34" s="48">
        <v>3941</v>
      </c>
      <c r="Q34" s="48">
        <v>4037</v>
      </c>
      <c r="R34" s="48">
        <v>4387</v>
      </c>
      <c r="S34" s="48">
        <v>4228</v>
      </c>
      <c r="T34" s="48">
        <v>4632</v>
      </c>
      <c r="U34" s="48">
        <v>5051</v>
      </c>
      <c r="V34" s="48"/>
      <c r="W34" s="48">
        <v>2330901</v>
      </c>
      <c r="X34" s="48">
        <v>2377019</v>
      </c>
      <c r="Y34" s="48">
        <v>2426701</v>
      </c>
      <c r="Z34" s="48">
        <v>2472263</v>
      </c>
      <c r="AA34" s="48">
        <v>2518272</v>
      </c>
      <c r="AB34" s="48">
        <v>2581881</v>
      </c>
      <c r="AC34" s="48">
        <v>2616020</v>
      </c>
      <c r="AD34" s="48"/>
      <c r="AE34" s="48">
        <v>31160</v>
      </c>
      <c r="AF34" s="48">
        <v>33755</v>
      </c>
      <c r="AG34" s="48"/>
      <c r="AH34" s="48">
        <f t="shared" si="8"/>
        <v>1736.667494672661</v>
      </c>
      <c r="AI34" s="48">
        <f t="shared" si="8"/>
        <v>1657.9589813964465</v>
      </c>
      <c r="AJ34" s="48">
        <f t="shared" si="8"/>
        <v>1663.5753642496541</v>
      </c>
      <c r="AK34" s="48">
        <f t="shared" si="8"/>
        <v>1774.4875848564654</v>
      </c>
      <c r="AL34" s="48">
        <f t="shared" si="8"/>
        <v>1678.9290434075428</v>
      </c>
      <c r="AM34" s="48">
        <f t="shared" si="8"/>
        <v>1794.040856259448</v>
      </c>
      <c r="AN34" s="48">
        <f t="shared" si="8"/>
        <v>1930.7956361189899</v>
      </c>
      <c r="AO34" s="48">
        <f t="shared" si="10"/>
        <v>2000.3817190736386</v>
      </c>
      <c r="AP34" s="48"/>
      <c r="AQ34" s="249"/>
      <c r="AR34" s="246" t="s">
        <v>199</v>
      </c>
      <c r="AS34" s="245">
        <v>73070</v>
      </c>
      <c r="AT34" s="245">
        <v>72250</v>
      </c>
      <c r="AU34" s="245">
        <v>78110</v>
      </c>
      <c r="AV34" s="245">
        <v>78360</v>
      </c>
      <c r="AW34" s="245">
        <v>89190</v>
      </c>
      <c r="AX34" s="245">
        <v>86140</v>
      </c>
      <c r="AY34" s="245">
        <f t="shared" si="11"/>
        <v>89022.137823416982</v>
      </c>
      <c r="AZ34" s="245"/>
      <c r="BA34" s="46">
        <f t="shared" si="12"/>
        <v>3.3458762751532145E-2</v>
      </c>
      <c r="BB34" s="247"/>
      <c r="BC34" s="245"/>
      <c r="BD34" s="245"/>
      <c r="BE34" s="245"/>
    </row>
    <row r="35" spans="1:57" x14ac:dyDescent="0.25">
      <c r="A35" t="s">
        <v>214</v>
      </c>
      <c r="B35" s="47">
        <f t="shared" si="0"/>
        <v>1.9991991449605867E-2</v>
      </c>
      <c r="C35" s="47">
        <f t="shared" si="1"/>
        <v>1.9226657211804842E-2</v>
      </c>
      <c r="D35" s="47">
        <f t="shared" si="2"/>
        <v>1.9573362909418981E-2</v>
      </c>
      <c r="E35" s="47">
        <f t="shared" si="3"/>
        <v>2.0422966557558712E-2</v>
      </c>
      <c r="F35" s="47">
        <f t="shared" si="4"/>
        <v>1.761528339522311E-2</v>
      </c>
      <c r="G35" s="47">
        <f t="shared" si="5"/>
        <v>1.8268584764571102E-2</v>
      </c>
      <c r="H35" s="47">
        <f t="shared" si="6"/>
        <v>1.9301957416960808E-2</v>
      </c>
      <c r="I35" s="47">
        <f t="shared" si="13"/>
        <v>2.0298518375406482E-2</v>
      </c>
      <c r="J35" s="47"/>
      <c r="K35" s="47">
        <f t="shared" si="14"/>
        <v>-1.7234066850347653E-3</v>
      </c>
      <c r="L35" s="47">
        <f t="shared" si="7"/>
        <v>-6.9003403264505936E-4</v>
      </c>
      <c r="M35" s="47">
        <f t="shared" si="9"/>
        <v>3.0652692580061466E-4</v>
      </c>
      <c r="N35" s="47"/>
      <c r="O35" s="48">
        <v>5632</v>
      </c>
      <c r="P35" s="48">
        <v>5543</v>
      </c>
      <c r="Q35" s="48">
        <v>5580</v>
      </c>
      <c r="R35" s="48">
        <v>6233</v>
      </c>
      <c r="S35" s="48">
        <v>6146</v>
      </c>
      <c r="T35" s="48">
        <v>6524</v>
      </c>
      <c r="U35" s="48">
        <v>7214</v>
      </c>
      <c r="V35" s="48"/>
      <c r="W35" s="48">
        <v>3464676</v>
      </c>
      <c r="X35" s="48">
        <v>3506844</v>
      </c>
      <c r="Y35" s="48">
        <v>3551530</v>
      </c>
      <c r="Z35" s="48">
        <v>3583370</v>
      </c>
      <c r="AA35" s="48">
        <v>3615935</v>
      </c>
      <c r="AB35" s="48">
        <v>3654480</v>
      </c>
      <c r="AC35" s="48">
        <v>3686578</v>
      </c>
      <c r="AD35" s="48"/>
      <c r="AE35" s="48">
        <v>46666</v>
      </c>
      <c r="AF35" s="48">
        <v>47217</v>
      </c>
      <c r="AG35" s="48"/>
      <c r="AH35" s="48">
        <f t="shared" si="8"/>
        <v>1625.548824767453</v>
      </c>
      <c r="AI35" s="48">
        <f t="shared" si="8"/>
        <v>1580.623489382476</v>
      </c>
      <c r="AJ35" s="48">
        <f t="shared" si="8"/>
        <v>1571.1538407390617</v>
      </c>
      <c r="AK35" s="48">
        <f t="shared" si="8"/>
        <v>1739.4240617072755</v>
      </c>
      <c r="AL35" s="48">
        <f t="shared" si="8"/>
        <v>1699.698694805078</v>
      </c>
      <c r="AM35" s="48">
        <f t="shared" si="8"/>
        <v>1785.2061031938881</v>
      </c>
      <c r="AN35" s="48">
        <f t="shared" si="8"/>
        <v>1956.8282564481208</v>
      </c>
      <c r="AO35" s="48">
        <f t="shared" si="10"/>
        <v>2057.8593902670123</v>
      </c>
      <c r="AP35" s="48"/>
      <c r="AQ35" s="249"/>
      <c r="AR35" s="246" t="s">
        <v>231</v>
      </c>
      <c r="AS35" s="245">
        <v>70910</v>
      </c>
      <c r="AT35" s="245">
        <v>61160</v>
      </c>
      <c r="AU35" s="245">
        <v>64340</v>
      </c>
      <c r="AV35" s="245">
        <v>72330</v>
      </c>
      <c r="AW35" s="245">
        <v>81310</v>
      </c>
      <c r="AX35" s="245">
        <v>80590</v>
      </c>
      <c r="AY35" s="245">
        <f t="shared" si="11"/>
        <v>82679.128435602455</v>
      </c>
      <c r="AZ35" s="245"/>
      <c r="BA35" s="46">
        <f t="shared" si="12"/>
        <v>2.592292388140538E-2</v>
      </c>
      <c r="BB35" s="247"/>
      <c r="BC35" s="245"/>
      <c r="BD35" s="245"/>
      <c r="BE35" s="245"/>
    </row>
    <row r="36" spans="1:57" x14ac:dyDescent="0.25">
      <c r="A36" t="s">
        <v>215</v>
      </c>
      <c r="B36" s="47">
        <f t="shared" si="0"/>
        <v>2.7243969130958324E-2</v>
      </c>
      <c r="C36" s="47">
        <f t="shared" si="1"/>
        <v>2.8652696845417006E-2</v>
      </c>
      <c r="D36" s="47">
        <f t="shared" si="2"/>
        <v>3.3198836040008152E-2</v>
      </c>
      <c r="E36" s="47">
        <f t="shared" si="3"/>
        <v>3.2501916911427058E-2</v>
      </c>
      <c r="F36" s="47">
        <f t="shared" si="4"/>
        <v>2.7526496685556068E-2</v>
      </c>
      <c r="G36" s="47">
        <f t="shared" si="5"/>
        <v>2.940601508975604E-2</v>
      </c>
      <c r="H36" s="47">
        <f t="shared" si="6"/>
        <v>3.0418512941085041E-2</v>
      </c>
      <c r="I36" s="47">
        <f t="shared" si="13"/>
        <v>3.0717370431614398E-2</v>
      </c>
      <c r="J36" s="47"/>
      <c r="K36" s="47">
        <f t="shared" si="14"/>
        <v>2.1620459587977162E-3</v>
      </c>
      <c r="L36" s="47">
        <f t="shared" si="7"/>
        <v>3.1745438101267176E-3</v>
      </c>
      <c r="M36" s="47">
        <f t="shared" si="9"/>
        <v>3.4734013006560739E-3</v>
      </c>
      <c r="N36" s="47"/>
      <c r="O36" s="48">
        <v>1255</v>
      </c>
      <c r="P36" s="48">
        <v>1284</v>
      </c>
      <c r="Q36" s="48">
        <v>1343</v>
      </c>
      <c r="R36" s="48">
        <v>1473</v>
      </c>
      <c r="S36" s="48">
        <v>1438</v>
      </c>
      <c r="T36" s="48">
        <v>1609</v>
      </c>
      <c r="U36" s="48">
        <v>1720</v>
      </c>
      <c r="V36" s="48"/>
      <c r="W36" s="48">
        <v>857666</v>
      </c>
      <c r="X36" s="48">
        <v>862277</v>
      </c>
      <c r="Y36" s="48">
        <v>863647</v>
      </c>
      <c r="Z36" s="48">
        <v>863904</v>
      </c>
      <c r="AA36" s="48">
        <v>864767</v>
      </c>
      <c r="AB36" s="48">
        <v>866456</v>
      </c>
      <c r="AC36" s="48">
        <v>866869</v>
      </c>
      <c r="AD36" s="48"/>
      <c r="AE36" s="48">
        <v>11153</v>
      </c>
      <c r="AF36" s="48">
        <v>11163</v>
      </c>
      <c r="AG36" s="48"/>
      <c r="AH36" s="48">
        <f t="shared" si="8"/>
        <v>1463.2735820237715</v>
      </c>
      <c r="AI36" s="48">
        <f t="shared" si="8"/>
        <v>1489.0806550563218</v>
      </c>
      <c r="AJ36" s="48">
        <f t="shared" si="8"/>
        <v>1555.0334801139818</v>
      </c>
      <c r="AK36" s="48">
        <f t="shared" si="8"/>
        <v>1705.0505611734636</v>
      </c>
      <c r="AL36" s="48">
        <f t="shared" si="8"/>
        <v>1662.8756647744422</v>
      </c>
      <c r="AM36" s="48">
        <f t="shared" si="8"/>
        <v>1856.9898529180939</v>
      </c>
      <c r="AN36" s="48">
        <f t="shared" si="8"/>
        <v>1984.1521613992425</v>
      </c>
      <c r="AO36" s="48">
        <f t="shared" si="10"/>
        <v>2003.6461694374614</v>
      </c>
      <c r="AP36" s="48"/>
      <c r="AQ36" s="249"/>
      <c r="AR36" s="246" t="s">
        <v>171</v>
      </c>
      <c r="AS36" s="245">
        <v>86900</v>
      </c>
      <c r="AT36" s="245">
        <v>88890</v>
      </c>
      <c r="AU36" s="245">
        <v>88840</v>
      </c>
      <c r="AV36" s="245">
        <v>84970</v>
      </c>
      <c r="AW36" s="245">
        <v>98780</v>
      </c>
      <c r="AX36" s="245">
        <v>111800</v>
      </c>
      <c r="AY36" s="245">
        <f t="shared" si="11"/>
        <v>117578.03801027081</v>
      </c>
      <c r="AZ36" s="245"/>
      <c r="BA36" s="46">
        <f t="shared" si="12"/>
        <v>5.1681914224247061E-2</v>
      </c>
      <c r="BB36" s="247"/>
      <c r="BC36" s="245"/>
      <c r="BD36" s="245"/>
      <c r="BE36" s="245"/>
    </row>
    <row r="37" spans="1:57" x14ac:dyDescent="0.25">
      <c r="A37" t="s">
        <v>217</v>
      </c>
      <c r="B37" s="47">
        <f t="shared" si="0"/>
        <v>3.2123655757899272E-2</v>
      </c>
      <c r="C37" s="47">
        <f t="shared" si="1"/>
        <v>3.1587301015416444E-2</v>
      </c>
      <c r="D37" s="47">
        <f t="shared" si="2"/>
        <v>3.1139780584435034E-2</v>
      </c>
      <c r="E37" s="47">
        <f t="shared" si="3"/>
        <v>3.3611848641780906E-2</v>
      </c>
      <c r="F37" s="47">
        <f t="shared" si="4"/>
        <v>3.2182240266463887E-2</v>
      </c>
      <c r="G37" s="47">
        <f t="shared" si="5"/>
        <v>3.1757219748350989E-2</v>
      </c>
      <c r="H37" s="47">
        <f t="shared" si="6"/>
        <v>3.2910037813263196E-2</v>
      </c>
      <c r="I37" s="47">
        <f t="shared" si="13"/>
        <v>3.4308675203350576E-2</v>
      </c>
      <c r="J37" s="47"/>
      <c r="K37" s="47">
        <f t="shared" si="14"/>
        <v>-3.6643600954828354E-4</v>
      </c>
      <c r="L37" s="47">
        <f t="shared" si="7"/>
        <v>7.8638205536392392E-4</v>
      </c>
      <c r="M37" s="47">
        <f t="shared" si="9"/>
        <v>2.1850194454513042E-3</v>
      </c>
      <c r="N37" s="47"/>
      <c r="O37" s="48">
        <v>4061</v>
      </c>
      <c r="P37" s="48">
        <v>3940</v>
      </c>
      <c r="Q37" s="48">
        <v>4092</v>
      </c>
      <c r="R37" s="48">
        <v>4691</v>
      </c>
      <c r="S37" s="48">
        <v>4594</v>
      </c>
      <c r="T37" s="48">
        <v>4993</v>
      </c>
      <c r="U37" s="48">
        <v>5389</v>
      </c>
      <c r="V37" s="48"/>
      <c r="W37" s="48">
        <v>2249426</v>
      </c>
      <c r="X37" s="48">
        <v>2280740</v>
      </c>
      <c r="Y37" s="48">
        <v>2308229</v>
      </c>
      <c r="Z37" s="48">
        <v>2329559</v>
      </c>
      <c r="AA37" s="48">
        <v>2353273</v>
      </c>
      <c r="AB37" s="48">
        <v>2398171</v>
      </c>
      <c r="AC37" s="48">
        <v>2421923</v>
      </c>
      <c r="AD37" s="48"/>
      <c r="AE37" s="48">
        <v>32416</v>
      </c>
      <c r="AF37" s="48">
        <v>33479</v>
      </c>
      <c r="AG37" s="48"/>
      <c r="AH37" s="48">
        <f t="shared" si="8"/>
        <v>1805.3494535939392</v>
      </c>
      <c r="AI37" s="48">
        <f t="shared" si="8"/>
        <v>1727.5094925331252</v>
      </c>
      <c r="AJ37" s="48">
        <f t="shared" si="8"/>
        <v>1772.7877086718865</v>
      </c>
      <c r="AK37" s="48">
        <f t="shared" si="8"/>
        <v>2013.685852129094</v>
      </c>
      <c r="AL37" s="48">
        <f t="shared" si="8"/>
        <v>1952.1746945636992</v>
      </c>
      <c r="AM37" s="48">
        <f t="shared" si="8"/>
        <v>2082.0033267018907</v>
      </c>
      <c r="AN37" s="48">
        <f t="shared" si="8"/>
        <v>2225.0913839952796</v>
      </c>
      <c r="AO37" s="48">
        <f t="shared" si="10"/>
        <v>2319.6551163032036</v>
      </c>
      <c r="AP37" s="48"/>
      <c r="AQ37" s="249"/>
      <c r="AR37" s="246" t="s">
        <v>175</v>
      </c>
      <c r="AS37" s="245">
        <v>87730</v>
      </c>
      <c r="AT37" s="245">
        <v>85550</v>
      </c>
      <c r="AU37" s="245">
        <v>88560</v>
      </c>
      <c r="AV37" s="245">
        <v>92340</v>
      </c>
      <c r="AW37" s="245">
        <v>91590</v>
      </c>
      <c r="AX37" s="245">
        <v>103500</v>
      </c>
      <c r="AY37" s="245">
        <f t="shared" si="11"/>
        <v>106979.06402701818</v>
      </c>
      <c r="AZ37" s="245"/>
      <c r="BA37" s="46">
        <f t="shared" si="12"/>
        <v>3.3614145188581412E-2</v>
      </c>
      <c r="BB37" s="247"/>
      <c r="BC37" s="245"/>
      <c r="BD37" s="245"/>
      <c r="BE37" s="245"/>
    </row>
    <row r="38" spans="1:57" x14ac:dyDescent="0.25">
      <c r="A38" t="s">
        <v>218</v>
      </c>
      <c r="B38" s="47">
        <f t="shared" ref="B38:B57" si="15">AH38/_xlfn.XLOOKUP($A38,$AR:$AR,AS:AS)</f>
        <v>2.5887241031884035E-2</v>
      </c>
      <c r="C38" s="47">
        <f t="shared" ref="C38:C57" si="16">AI38/_xlfn.XLOOKUP($A38,$AR:$AR,AT:AT)</f>
        <v>2.465238689280886E-2</v>
      </c>
      <c r="D38" s="47">
        <f t="shared" ref="D38:D57" si="17">AJ38/_xlfn.XLOOKUP($A38,$AR:$AR,AU:AU)</f>
        <v>2.6894359629899504E-2</v>
      </c>
      <c r="E38" s="47">
        <f t="shared" ref="E38:E57" si="18">AK38/_xlfn.XLOOKUP($A38,$AR:$AR,AV:AV)</f>
        <v>3.0332170301134085E-2</v>
      </c>
      <c r="F38" s="47">
        <f t="shared" ref="F38:F57" si="19">AL38/_xlfn.XLOOKUP($A38,$AR:$AR,AW:AW)</f>
        <v>2.4353813599018215E-2</v>
      </c>
      <c r="G38" s="47">
        <f t="shared" ref="G38:G57" si="20">AM38/_xlfn.XLOOKUP($A38,$AR:$AR,AX:AX)</f>
        <v>2.4780315210880595E-2</v>
      </c>
      <c r="H38" s="47">
        <f t="shared" ref="H38:H57" si="21">AN38/_xlfn.XLOOKUP($A38,$AR:$AR,AY:AY)</f>
        <v>2.6913733073879616E-2</v>
      </c>
      <c r="I38" s="47">
        <f t="shared" si="13"/>
        <v>2.6456745270691112E-2</v>
      </c>
      <c r="J38" s="47"/>
      <c r="K38" s="47">
        <f t="shared" si="14"/>
        <v>-1.1069258210034405E-3</v>
      </c>
      <c r="L38" s="47">
        <f t="shared" si="7"/>
        <v>1.026492041995581E-3</v>
      </c>
      <c r="M38" s="47">
        <f t="shared" si="9"/>
        <v>5.6950423880707673E-4</v>
      </c>
      <c r="N38" s="47"/>
      <c r="O38" s="48">
        <v>2869</v>
      </c>
      <c r="P38" s="48">
        <v>2818</v>
      </c>
      <c r="Q38" s="48">
        <v>3041</v>
      </c>
      <c r="R38" s="48">
        <v>3466</v>
      </c>
      <c r="S38" s="48">
        <v>3106</v>
      </c>
      <c r="T38" s="48">
        <v>3335</v>
      </c>
      <c r="U38" s="48">
        <v>3606</v>
      </c>
      <c r="V38" s="48"/>
      <c r="W38" s="48">
        <v>1991139</v>
      </c>
      <c r="X38" s="48">
        <v>2013908</v>
      </c>
      <c r="Y38" s="48">
        <v>2032573</v>
      </c>
      <c r="Z38" s="48">
        <v>2045250</v>
      </c>
      <c r="AA38" s="48">
        <v>2057704</v>
      </c>
      <c r="AB38" s="48">
        <v>2077213</v>
      </c>
      <c r="AC38" s="48">
        <v>2006092</v>
      </c>
      <c r="AD38" s="48"/>
      <c r="AE38" s="48">
        <v>26573</v>
      </c>
      <c r="AF38" s="48">
        <v>27235</v>
      </c>
      <c r="AG38" s="48"/>
      <c r="AH38" s="48">
        <f t="shared" ref="AH38:AN57" si="22">O38*1000000/W38</f>
        <v>1440.8838358346654</v>
      </c>
      <c r="AI38" s="48">
        <f t="shared" si="22"/>
        <v>1399.2694800358308</v>
      </c>
      <c r="AJ38" s="48">
        <f t="shared" si="22"/>
        <v>1496.1332262113094</v>
      </c>
      <c r="AK38" s="48">
        <f t="shared" si="22"/>
        <v>1694.6583547243613</v>
      </c>
      <c r="AL38" s="48">
        <f t="shared" si="22"/>
        <v>1509.4493668671489</v>
      </c>
      <c r="AM38" s="48">
        <f t="shared" si="22"/>
        <v>1605.5166225129537</v>
      </c>
      <c r="AN38" s="48">
        <f t="shared" si="22"/>
        <v>1797.5247396430473</v>
      </c>
      <c r="AO38" s="48">
        <f t="shared" si="10"/>
        <v>1767.0032627564501</v>
      </c>
      <c r="AP38" s="48"/>
      <c r="AQ38" s="249"/>
      <c r="AR38" s="246" t="s">
        <v>232</v>
      </c>
      <c r="AS38" s="245">
        <v>53110</v>
      </c>
      <c r="AT38" s="245">
        <v>50910</v>
      </c>
      <c r="AU38" s="245">
        <v>53460</v>
      </c>
      <c r="AV38" s="245">
        <v>56420</v>
      </c>
      <c r="AW38" s="245">
        <v>60980</v>
      </c>
      <c r="AX38" s="245">
        <v>64140</v>
      </c>
      <c r="AY38" s="245">
        <f t="shared" si="11"/>
        <v>66606.940660040302</v>
      </c>
      <c r="AZ38" s="245"/>
      <c r="BA38" s="46">
        <f t="shared" si="12"/>
        <v>3.8461812598071354E-2</v>
      </c>
      <c r="BB38" s="247"/>
      <c r="BC38" s="245"/>
      <c r="BD38" s="245"/>
      <c r="BE38" s="245"/>
    </row>
    <row r="39" spans="1:57" x14ac:dyDescent="0.25">
      <c r="A39" t="s">
        <v>219</v>
      </c>
      <c r="B39" s="47">
        <f t="shared" si="15"/>
        <v>3.6404657751524336E-2</v>
      </c>
      <c r="C39" s="47">
        <f t="shared" si="16"/>
        <v>3.4063519934739266E-2</v>
      </c>
      <c r="D39" s="47">
        <f t="shared" si="17"/>
        <v>3.4816012746193531E-2</v>
      </c>
      <c r="E39" s="47">
        <f t="shared" si="18"/>
        <v>3.6355736271571522E-2</v>
      </c>
      <c r="F39" s="47">
        <f t="shared" si="19"/>
        <v>3.336491115655521E-2</v>
      </c>
      <c r="G39" s="47">
        <f t="shared" si="20"/>
        <v>3.3182816238791366E-2</v>
      </c>
      <c r="H39" s="47">
        <f t="shared" si="21"/>
        <v>3.4029221388746117E-2</v>
      </c>
      <c r="I39" s="47">
        <f t="shared" si="13"/>
        <v>3.4687313750764184E-2</v>
      </c>
      <c r="J39" s="47"/>
      <c r="K39" s="47">
        <f t="shared" si="14"/>
        <v>-3.2218415127329703E-3</v>
      </c>
      <c r="L39" s="47">
        <f t="shared" si="7"/>
        <v>-2.3754363627782188E-3</v>
      </c>
      <c r="M39" s="47">
        <f t="shared" si="9"/>
        <v>-1.7173440007601515E-3</v>
      </c>
      <c r="N39" s="47"/>
      <c r="O39" s="48">
        <v>2109</v>
      </c>
      <c r="P39" s="48">
        <v>2011</v>
      </c>
      <c r="Q39" s="48">
        <v>2146</v>
      </c>
      <c r="R39" s="48">
        <v>2349</v>
      </c>
      <c r="S39" s="48">
        <v>2453</v>
      </c>
      <c r="T39" s="48">
        <v>2490</v>
      </c>
      <c r="U39" s="48">
        <v>2679</v>
      </c>
      <c r="V39" s="48"/>
      <c r="W39" s="48">
        <v>1293417</v>
      </c>
      <c r="X39" s="48">
        <v>1308149</v>
      </c>
      <c r="Y39" s="48">
        <v>1321576</v>
      </c>
      <c r="Z39" s="48">
        <v>1329182</v>
      </c>
      <c r="AA39" s="48">
        <v>1335277</v>
      </c>
      <c r="AB39" s="48">
        <v>1340458</v>
      </c>
      <c r="AC39" s="48">
        <v>1344985</v>
      </c>
      <c r="AD39" s="48"/>
      <c r="AE39" s="48">
        <v>18718</v>
      </c>
      <c r="AF39" s="48">
        <v>19095</v>
      </c>
      <c r="AG39" s="48"/>
      <c r="AH39" s="48">
        <f t="shared" si="22"/>
        <v>1630.564620690775</v>
      </c>
      <c r="AI39" s="48">
        <f t="shared" si="22"/>
        <v>1537.2866546547832</v>
      </c>
      <c r="AJ39" s="48">
        <f t="shared" si="22"/>
        <v>1623.8188344824664</v>
      </c>
      <c r="AK39" s="48">
        <f t="shared" si="22"/>
        <v>1767.2523401610915</v>
      </c>
      <c r="AL39" s="48">
        <f t="shared" si="22"/>
        <v>1837.0720082799298</v>
      </c>
      <c r="AM39" s="48">
        <f t="shared" si="22"/>
        <v>1857.5740530475405</v>
      </c>
      <c r="AN39" s="48">
        <f t="shared" si="22"/>
        <v>1991.8437752093889</v>
      </c>
      <c r="AO39" s="48">
        <f t="shared" si="10"/>
        <v>2030.364115120311</v>
      </c>
      <c r="AP39" s="48"/>
      <c r="AQ39" s="249"/>
      <c r="AR39" s="246" t="s">
        <v>176</v>
      </c>
      <c r="AS39" s="245">
        <v>71850</v>
      </c>
      <c r="AT39" s="245">
        <v>68660</v>
      </c>
      <c r="AU39" s="245">
        <v>72920</v>
      </c>
      <c r="AV39" s="245">
        <v>75910</v>
      </c>
      <c r="AW39" s="245">
        <v>81600</v>
      </c>
      <c r="AX39" s="245">
        <v>86830</v>
      </c>
      <c r="AY39" s="245">
        <f t="shared" si="11"/>
        <v>90181.697689570588</v>
      </c>
      <c r="AZ39" s="245"/>
      <c r="BA39" s="46">
        <f t="shared" si="12"/>
        <v>3.8600687430272895E-2</v>
      </c>
      <c r="BB39" s="247"/>
      <c r="BC39" s="245"/>
      <c r="BD39" s="245"/>
      <c r="BE39" s="245"/>
    </row>
    <row r="40" spans="1:57" x14ac:dyDescent="0.25">
      <c r="A40" t="s">
        <v>220</v>
      </c>
      <c r="B40" s="47">
        <f t="shared" si="15"/>
        <v>2.8042360950139473E-2</v>
      </c>
      <c r="C40" s="47">
        <f t="shared" si="16"/>
        <v>2.7438326676498238E-2</v>
      </c>
      <c r="D40" s="47">
        <f t="shared" si="17"/>
        <v>2.5284647822793997E-2</v>
      </c>
      <c r="E40" s="47">
        <f t="shared" si="18"/>
        <v>2.6700651331697741E-2</v>
      </c>
      <c r="F40" s="47">
        <f t="shared" si="19"/>
        <v>2.2318848585079303E-2</v>
      </c>
      <c r="G40" s="47">
        <f t="shared" si="20"/>
        <v>2.2670464468395761E-2</v>
      </c>
      <c r="H40" s="47">
        <f t="shared" si="21"/>
        <v>2.3923471927718334E-2</v>
      </c>
      <c r="I40" s="47">
        <f t="shared" si="13"/>
        <v>2.3929035948422699E-2</v>
      </c>
      <c r="J40" s="47"/>
      <c r="K40" s="47">
        <f t="shared" si="14"/>
        <v>-5.3718964817437119E-3</v>
      </c>
      <c r="L40" s="47">
        <f t="shared" si="7"/>
        <v>-4.1188890224211384E-3</v>
      </c>
      <c r="M40" s="47">
        <f t="shared" si="9"/>
        <v>-4.1133250017167736E-3</v>
      </c>
      <c r="N40" s="47"/>
      <c r="O40" s="48">
        <v>4629</v>
      </c>
      <c r="P40" s="48">
        <v>4420</v>
      </c>
      <c r="Q40" s="48">
        <v>4742</v>
      </c>
      <c r="R40" s="48">
        <v>5339</v>
      </c>
      <c r="S40" s="48">
        <v>5041</v>
      </c>
      <c r="T40" s="48">
        <v>5445</v>
      </c>
      <c r="U40" s="48">
        <v>5964</v>
      </c>
      <c r="V40" s="48"/>
      <c r="W40" s="48">
        <v>2914916</v>
      </c>
      <c r="X40" s="48">
        <v>2930481</v>
      </c>
      <c r="Y40" s="48">
        <v>3016642</v>
      </c>
      <c r="Z40" s="48">
        <v>3058392</v>
      </c>
      <c r="AA40" s="48">
        <v>3106780</v>
      </c>
      <c r="AB40" s="48">
        <v>3166100</v>
      </c>
      <c r="AC40" s="48">
        <v>3099612</v>
      </c>
      <c r="AD40" s="48"/>
      <c r="AE40" s="48">
        <v>42573</v>
      </c>
      <c r="AF40" s="48">
        <v>45260</v>
      </c>
      <c r="AG40" s="48"/>
      <c r="AH40" s="48">
        <f t="shared" si="22"/>
        <v>1588.0389006063983</v>
      </c>
      <c r="AI40" s="48">
        <f t="shared" si="22"/>
        <v>1508.2848174071082</v>
      </c>
      <c r="AJ40" s="48">
        <f t="shared" si="22"/>
        <v>1571.9465551431028</v>
      </c>
      <c r="AK40" s="48">
        <f t="shared" si="22"/>
        <v>1745.6885840663983</v>
      </c>
      <c r="AL40" s="48">
        <f t="shared" si="22"/>
        <v>1622.5802921352654</v>
      </c>
      <c r="AM40" s="48">
        <f t="shared" si="22"/>
        <v>1719.7814345725023</v>
      </c>
      <c r="AN40" s="48">
        <f t="shared" si="22"/>
        <v>1924.1117920565541</v>
      </c>
      <c r="AO40" s="48">
        <f t="shared" si="10"/>
        <v>1924.5592939024759</v>
      </c>
      <c r="AP40" s="48"/>
      <c r="AQ40" s="249"/>
      <c r="AR40" s="246" t="s">
        <v>212</v>
      </c>
      <c r="AS40" s="245">
        <v>61160</v>
      </c>
      <c r="AT40" s="245">
        <v>60430</v>
      </c>
      <c r="AU40" s="245">
        <v>62890</v>
      </c>
      <c r="AV40" s="245">
        <v>65070</v>
      </c>
      <c r="AW40" s="245">
        <v>68610</v>
      </c>
      <c r="AX40" s="245">
        <v>67220</v>
      </c>
      <c r="AY40" s="245">
        <f t="shared" si="11"/>
        <v>68502.230757728394</v>
      </c>
      <c r="AZ40" s="245"/>
      <c r="BA40" s="46">
        <f t="shared" si="12"/>
        <v>1.907513772282643E-2</v>
      </c>
      <c r="BB40" s="247"/>
      <c r="BC40" s="245"/>
      <c r="BD40" s="245"/>
      <c r="BE40" s="245"/>
    </row>
    <row r="41" spans="1:57" x14ac:dyDescent="0.25">
      <c r="A41" t="s">
        <v>222</v>
      </c>
      <c r="B41" s="47">
        <f t="shared" si="15"/>
        <v>2.4086031810988465E-2</v>
      </c>
      <c r="C41" s="47">
        <f t="shared" si="16"/>
        <v>2.6066819421869381E-2</v>
      </c>
      <c r="D41" s="47">
        <f t="shared" si="17"/>
        <v>2.9232521408442538E-2</v>
      </c>
      <c r="E41" s="47">
        <f t="shared" si="18"/>
        <v>2.9745121814888514E-2</v>
      </c>
      <c r="F41" s="47">
        <f t="shared" si="19"/>
        <v>2.4379337707673532E-2</v>
      </c>
      <c r="G41" s="47">
        <f t="shared" si="20"/>
        <v>2.3902248522382E-2</v>
      </c>
      <c r="H41" s="47">
        <f t="shared" si="21"/>
        <v>2.4648380451340147E-2</v>
      </c>
      <c r="I41" s="47">
        <f t="shared" si="13"/>
        <v>2.5643123911395609E-2</v>
      </c>
      <c r="J41" s="47"/>
      <c r="K41" s="47">
        <f t="shared" si="14"/>
        <v>-1.8378328860646498E-4</v>
      </c>
      <c r="L41" s="47">
        <f t="shared" si="7"/>
        <v>5.6234864035168211E-4</v>
      </c>
      <c r="M41" s="47">
        <f t="shared" si="9"/>
        <v>1.5570921004071439E-3</v>
      </c>
      <c r="N41" s="47"/>
      <c r="O41" s="48">
        <v>1835</v>
      </c>
      <c r="P41" s="48">
        <v>1871</v>
      </c>
      <c r="Q41" s="48">
        <v>2132</v>
      </c>
      <c r="R41" s="48">
        <v>2321</v>
      </c>
      <c r="S41" s="48">
        <v>2251</v>
      </c>
      <c r="T41" s="48">
        <v>2289</v>
      </c>
      <c r="U41" s="48">
        <v>2468</v>
      </c>
      <c r="V41" s="48"/>
      <c r="W41" s="48">
        <v>1396869</v>
      </c>
      <c r="X41" s="48">
        <v>1413491</v>
      </c>
      <c r="Y41" s="48">
        <v>1436244</v>
      </c>
      <c r="Z41" s="48">
        <v>1445528</v>
      </c>
      <c r="AA41" s="48">
        <v>1459799</v>
      </c>
      <c r="AB41" s="48">
        <v>1476944</v>
      </c>
      <c r="AC41" s="48">
        <v>1491723</v>
      </c>
      <c r="AD41" s="48"/>
      <c r="AE41" s="48">
        <v>18732</v>
      </c>
      <c r="AF41" s="48">
        <v>19228</v>
      </c>
      <c r="AG41" s="48"/>
      <c r="AH41" s="48">
        <f t="shared" si="22"/>
        <v>1313.6521749713108</v>
      </c>
      <c r="AI41" s="48">
        <f t="shared" si="22"/>
        <v>1323.6730902425272</v>
      </c>
      <c r="AJ41" s="48">
        <f t="shared" si="22"/>
        <v>1484.4274371207121</v>
      </c>
      <c r="AK41" s="48">
        <f t="shared" si="22"/>
        <v>1605.6416755676819</v>
      </c>
      <c r="AL41" s="48">
        <f t="shared" si="22"/>
        <v>1541.9931100103508</v>
      </c>
      <c r="AM41" s="48">
        <f t="shared" si="22"/>
        <v>1549.821794191249</v>
      </c>
      <c r="AN41" s="48">
        <f t="shared" si="22"/>
        <v>1654.4626582817318</v>
      </c>
      <c r="AO41" s="48">
        <f t="shared" si="10"/>
        <v>1721.232396459083</v>
      </c>
      <c r="AP41" s="48"/>
      <c r="AQ41" s="249"/>
      <c r="AR41" s="246" t="s">
        <v>201</v>
      </c>
      <c r="AS41" s="245">
        <v>70030</v>
      </c>
      <c r="AT41" s="245">
        <v>64120</v>
      </c>
      <c r="AU41" s="245">
        <v>68880</v>
      </c>
      <c r="AV41" s="245">
        <v>78720</v>
      </c>
      <c r="AW41" s="245">
        <v>76960</v>
      </c>
      <c r="AX41" s="245">
        <v>88080</v>
      </c>
      <c r="AY41" s="245">
        <f t="shared" si="11"/>
        <v>92213.804848695232</v>
      </c>
      <c r="AZ41" s="245"/>
      <c r="BA41" s="46">
        <f t="shared" si="12"/>
        <v>4.6932389290363696E-2</v>
      </c>
      <c r="BB41" s="247"/>
      <c r="BC41" s="245"/>
      <c r="BD41" s="245"/>
      <c r="BE41" s="245"/>
    </row>
    <row r="42" spans="1:57" x14ac:dyDescent="0.25">
      <c r="A42" t="s">
        <v>223</v>
      </c>
      <c r="B42" s="47">
        <f t="shared" si="15"/>
        <v>2.8009382801034748E-2</v>
      </c>
      <c r="C42" s="47">
        <f t="shared" si="16"/>
        <v>2.7209530672970859E-2</v>
      </c>
      <c r="D42" s="47">
        <f t="shared" si="17"/>
        <v>2.7557343161602556E-2</v>
      </c>
      <c r="E42" s="47">
        <f t="shared" si="18"/>
        <v>3.2764166320172115E-2</v>
      </c>
      <c r="F42" s="47">
        <f t="shared" si="19"/>
        <v>2.9754207673300604E-2</v>
      </c>
      <c r="G42" s="47">
        <f t="shared" si="20"/>
        <v>2.7848929147135288E-2</v>
      </c>
      <c r="H42" s="47">
        <f t="shared" si="21"/>
        <v>2.951545628850474E-2</v>
      </c>
      <c r="I42" s="47">
        <f t="shared" si="13"/>
        <v>2.9626484153872621E-2</v>
      </c>
      <c r="J42" s="47"/>
      <c r="K42" s="47">
        <f t="shared" si="14"/>
        <v>-1.6045365389946026E-4</v>
      </c>
      <c r="L42" s="47">
        <f t="shared" si="7"/>
        <v>1.5060734874699916E-3</v>
      </c>
      <c r="M42" s="47">
        <f t="shared" si="9"/>
        <v>1.6171013528378728E-3</v>
      </c>
      <c r="N42" s="47"/>
      <c r="O42" s="48">
        <v>3035</v>
      </c>
      <c r="P42" s="48">
        <v>2943</v>
      </c>
      <c r="Q42" s="48">
        <v>3352</v>
      </c>
      <c r="R42" s="48">
        <v>4067</v>
      </c>
      <c r="S42" s="48">
        <v>3666</v>
      </c>
      <c r="T42" s="48">
        <v>3633</v>
      </c>
      <c r="U42" s="48">
        <v>4001</v>
      </c>
      <c r="V42" s="48"/>
      <c r="W42" s="48">
        <v>2095466</v>
      </c>
      <c r="X42" s="48">
        <v>2112925</v>
      </c>
      <c r="Y42" s="48">
        <v>2126154</v>
      </c>
      <c r="Z42" s="48">
        <v>2128421</v>
      </c>
      <c r="AA42" s="48">
        <v>2137198</v>
      </c>
      <c r="AB42" s="48">
        <v>2147742</v>
      </c>
      <c r="AC42" s="48">
        <v>2161047</v>
      </c>
      <c r="AD42" s="48"/>
      <c r="AE42" s="48">
        <v>30986</v>
      </c>
      <c r="AF42" s="48">
        <v>31836</v>
      </c>
      <c r="AG42" s="48"/>
      <c r="AH42" s="48">
        <f t="shared" si="22"/>
        <v>1448.3651846415069</v>
      </c>
      <c r="AI42" s="48">
        <f t="shared" si="22"/>
        <v>1392.8558751493783</v>
      </c>
      <c r="AJ42" s="48">
        <f t="shared" si="22"/>
        <v>1576.5556022752821</v>
      </c>
      <c r="AK42" s="48">
        <f t="shared" si="22"/>
        <v>1910.8061797924377</v>
      </c>
      <c r="AL42" s="48">
        <f t="shared" si="22"/>
        <v>1715.3300723657799</v>
      </c>
      <c r="AM42" s="48">
        <f t="shared" si="22"/>
        <v>1691.5439563969974</v>
      </c>
      <c r="AN42" s="48">
        <f t="shared" si="22"/>
        <v>1851.4173916624673</v>
      </c>
      <c r="AO42" s="48">
        <f t="shared" si="10"/>
        <v>1858.3818417083003</v>
      </c>
      <c r="AP42" s="48"/>
      <c r="AQ42" s="249"/>
      <c r="AR42" s="246" t="s">
        <v>182</v>
      </c>
      <c r="AS42" s="245">
        <v>64660</v>
      </c>
      <c r="AT42" s="245">
        <v>60380</v>
      </c>
      <c r="AU42" s="245">
        <v>62690</v>
      </c>
      <c r="AV42" s="245">
        <v>67520</v>
      </c>
      <c r="AW42" s="245">
        <v>73770</v>
      </c>
      <c r="AX42" s="245">
        <v>80520</v>
      </c>
      <c r="AY42" s="245">
        <f t="shared" si="11"/>
        <v>84131.25732414602</v>
      </c>
      <c r="AZ42" s="245"/>
      <c r="BA42" s="46">
        <f t="shared" si="12"/>
        <v>4.4849196772801969E-2</v>
      </c>
      <c r="BB42" s="247"/>
      <c r="BC42" s="245"/>
      <c r="BD42" s="245"/>
      <c r="BE42" s="245"/>
    </row>
    <row r="43" spans="1:57" x14ac:dyDescent="0.25">
      <c r="A43" t="s">
        <v>224</v>
      </c>
      <c r="B43" s="47">
        <f t="shared" si="15"/>
        <v>2.3019427629605134E-2</v>
      </c>
      <c r="C43" s="47">
        <f t="shared" si="16"/>
        <v>2.4942622979841678E-2</v>
      </c>
      <c r="D43" s="47">
        <f t="shared" si="17"/>
        <v>2.3895264647228208E-2</v>
      </c>
      <c r="E43" s="47">
        <f t="shared" si="18"/>
        <v>2.7170305515572979E-2</v>
      </c>
      <c r="F43" s="47">
        <f t="shared" si="19"/>
        <v>2.3008323041093445E-2</v>
      </c>
      <c r="G43" s="47">
        <f t="shared" si="20"/>
        <v>2.4261307785777557E-2</v>
      </c>
      <c r="H43" s="47">
        <f t="shared" si="21"/>
        <v>2.5320309600598626E-2</v>
      </c>
      <c r="I43" s="47">
        <f t="shared" si="13"/>
        <v>2.6395210018566373E-2</v>
      </c>
      <c r="J43" s="47"/>
      <c r="K43" s="47">
        <f t="shared" si="14"/>
        <v>1.241880156172423E-3</v>
      </c>
      <c r="L43" s="47">
        <f t="shared" si="7"/>
        <v>2.3008819709934916E-3</v>
      </c>
      <c r="M43" s="47">
        <f t="shared" si="9"/>
        <v>3.375782388961239E-3</v>
      </c>
      <c r="N43" s="47"/>
      <c r="O43" s="48">
        <v>2430</v>
      </c>
      <c r="P43" s="48">
        <v>2350</v>
      </c>
      <c r="Q43" s="48">
        <v>2612</v>
      </c>
      <c r="R43" s="48">
        <v>3170</v>
      </c>
      <c r="S43" s="48">
        <v>2877</v>
      </c>
      <c r="T43" s="48">
        <v>2977</v>
      </c>
      <c r="U43" s="48">
        <v>3210</v>
      </c>
      <c r="V43" s="48"/>
      <c r="W43" s="48">
        <v>1777155</v>
      </c>
      <c r="X43" s="48">
        <v>1795621</v>
      </c>
      <c r="Y43" s="48">
        <v>1818808</v>
      </c>
      <c r="Z43" s="48">
        <v>1839084</v>
      </c>
      <c r="AA43" s="48">
        <v>1857147</v>
      </c>
      <c r="AB43" s="48">
        <v>1878819</v>
      </c>
      <c r="AC43" s="48">
        <v>1904661</v>
      </c>
      <c r="AD43" s="48"/>
      <c r="AE43" s="48">
        <v>23806</v>
      </c>
      <c r="AF43" s="48">
        <v>24475</v>
      </c>
      <c r="AG43" s="48"/>
      <c r="AH43" s="48">
        <f t="shared" si="22"/>
        <v>1367.3540011985449</v>
      </c>
      <c r="AI43" s="48">
        <f t="shared" si="22"/>
        <v>1308.7394277522928</v>
      </c>
      <c r="AJ43" s="48">
        <f t="shared" si="22"/>
        <v>1436.1054052984152</v>
      </c>
      <c r="AK43" s="48">
        <f t="shared" si="22"/>
        <v>1723.6841819079498</v>
      </c>
      <c r="AL43" s="48">
        <f t="shared" si="22"/>
        <v>1549.1503903568216</v>
      </c>
      <c r="AM43" s="48">
        <f t="shared" si="22"/>
        <v>1584.5060114891323</v>
      </c>
      <c r="AN43" s="48">
        <f t="shared" si="22"/>
        <v>1685.339280848403</v>
      </c>
      <c r="AO43" s="48">
        <f t="shared" si="10"/>
        <v>1756.8854793735022</v>
      </c>
      <c r="AP43" s="48"/>
      <c r="AQ43" s="249"/>
      <c r="AR43" s="246" t="s">
        <v>224</v>
      </c>
      <c r="AS43" s="245">
        <v>59400</v>
      </c>
      <c r="AT43" s="245">
        <v>52470</v>
      </c>
      <c r="AU43" s="245">
        <v>60100</v>
      </c>
      <c r="AV43" s="245">
        <v>63440</v>
      </c>
      <c r="AW43" s="245">
        <v>67330</v>
      </c>
      <c r="AX43" s="245">
        <v>65310</v>
      </c>
      <c r="AY43" s="245">
        <f t="shared" si="11"/>
        <v>66560.769099306664</v>
      </c>
      <c r="AZ43" s="245"/>
      <c r="BA43" s="46">
        <f t="shared" si="12"/>
        <v>1.9151264726790185E-2</v>
      </c>
      <c r="BB43" s="247"/>
      <c r="BC43" s="245"/>
      <c r="BD43" s="245"/>
      <c r="BE43" s="245"/>
    </row>
    <row r="44" spans="1:57" x14ac:dyDescent="0.25">
      <c r="A44" t="s">
        <v>225</v>
      </c>
      <c r="B44" s="47">
        <f t="shared" si="15"/>
        <v>2.3855745278083113E-2</v>
      </c>
      <c r="C44" s="47">
        <f t="shared" si="16"/>
        <v>2.3261661318518465E-2</v>
      </c>
      <c r="D44" s="47">
        <f t="shared" si="17"/>
        <v>2.3572623375543836E-2</v>
      </c>
      <c r="E44" s="47">
        <f t="shared" si="18"/>
        <v>2.6071959576542257E-2</v>
      </c>
      <c r="F44" s="47">
        <f t="shared" si="19"/>
        <v>2.5168234373406716E-2</v>
      </c>
      <c r="G44" s="47">
        <f t="shared" si="20"/>
        <v>2.410894336496781E-2</v>
      </c>
      <c r="H44" s="47">
        <f t="shared" si="21"/>
        <v>2.4527614415041189E-2</v>
      </c>
      <c r="I44" s="47">
        <f t="shared" si="13"/>
        <v>2.4998049337856591E-2</v>
      </c>
      <c r="J44" s="47"/>
      <c r="K44" s="47">
        <f t="shared" si="14"/>
        <v>2.5319808688469697E-4</v>
      </c>
      <c r="L44" s="47">
        <f t="shared" si="7"/>
        <v>6.7186913695807537E-4</v>
      </c>
      <c r="M44" s="47">
        <f t="shared" si="9"/>
        <v>1.1423040597734781E-3</v>
      </c>
      <c r="N44" s="47"/>
      <c r="O44" s="48">
        <v>18287</v>
      </c>
      <c r="P44" s="48">
        <v>18322</v>
      </c>
      <c r="Q44" s="48">
        <v>18772</v>
      </c>
      <c r="R44" s="48">
        <v>23475</v>
      </c>
      <c r="S44" s="48">
        <v>24389</v>
      </c>
      <c r="T44" s="48">
        <v>24652</v>
      </c>
      <c r="U44" s="48">
        <v>26427</v>
      </c>
      <c r="V44" s="48"/>
      <c r="W44" s="48">
        <v>11366635</v>
      </c>
      <c r="X44" s="48">
        <v>11515321</v>
      </c>
      <c r="Y44" s="48">
        <v>11815245</v>
      </c>
      <c r="Z44" s="48">
        <v>12063138</v>
      </c>
      <c r="AA44" s="48">
        <v>12257007</v>
      </c>
      <c r="AB44" s="48">
        <v>12547860</v>
      </c>
      <c r="AC44" s="48">
        <v>12730659</v>
      </c>
      <c r="AD44" s="48"/>
      <c r="AE44" s="48">
        <v>155481</v>
      </c>
      <c r="AF44" s="48">
        <v>170862</v>
      </c>
      <c r="AG44" s="48"/>
      <c r="AH44" s="48">
        <f t="shared" si="22"/>
        <v>1608.8314615539252</v>
      </c>
      <c r="AI44" s="48">
        <f t="shared" si="22"/>
        <v>1591.0976341866631</v>
      </c>
      <c r="AJ44" s="48">
        <f t="shared" si="22"/>
        <v>1588.7948155116546</v>
      </c>
      <c r="AK44" s="48">
        <f t="shared" si="22"/>
        <v>1946.011062793114</v>
      </c>
      <c r="AL44" s="48">
        <f t="shared" si="22"/>
        <v>1989.8006095615349</v>
      </c>
      <c r="AM44" s="48">
        <f t="shared" si="22"/>
        <v>1964.6377948112267</v>
      </c>
      <c r="AN44" s="48">
        <f t="shared" si="22"/>
        <v>2075.8548320240138</v>
      </c>
      <c r="AO44" s="48">
        <f t="shared" si="10"/>
        <v>2115.6693280917743</v>
      </c>
      <c r="AP44" s="48"/>
      <c r="AQ44" s="249"/>
      <c r="AR44" s="246" t="s">
        <v>237</v>
      </c>
      <c r="AS44" s="245">
        <v>74410</v>
      </c>
      <c r="AT44" s="245">
        <v>76850</v>
      </c>
      <c r="AU44" s="245">
        <v>81850</v>
      </c>
      <c r="AV44" s="245">
        <v>86780</v>
      </c>
      <c r="AW44" s="245">
        <v>88740</v>
      </c>
      <c r="AX44" s="245">
        <v>89700</v>
      </c>
      <c r="AY44" s="245">
        <f t="shared" si="11"/>
        <v>93116.076994095754</v>
      </c>
      <c r="AZ44" s="245"/>
      <c r="BA44" s="46">
        <f t="shared" si="12"/>
        <v>3.8083355564055177E-2</v>
      </c>
      <c r="BB44" s="247"/>
      <c r="BC44" s="245"/>
      <c r="BD44" s="245"/>
      <c r="BE44" s="245"/>
    </row>
    <row r="45" spans="1:57" x14ac:dyDescent="0.25">
      <c r="A45" t="s">
        <v>227</v>
      </c>
      <c r="B45" s="47">
        <f t="shared" si="15"/>
        <v>2.1410040155676446E-2</v>
      </c>
      <c r="C45" s="47">
        <f t="shared" si="16"/>
        <v>2.444995118002443E-2</v>
      </c>
      <c r="D45" s="47">
        <f t="shared" si="17"/>
        <v>2.2257312753925455E-2</v>
      </c>
      <c r="E45" s="47">
        <f t="shared" si="18"/>
        <v>2.2567732081926278E-2</v>
      </c>
      <c r="F45" s="47">
        <f t="shared" si="19"/>
        <v>2.1549661667386494E-2</v>
      </c>
      <c r="G45" s="47">
        <f t="shared" si="20"/>
        <v>2.2703322379339339E-2</v>
      </c>
      <c r="H45" s="47">
        <f t="shared" si="21"/>
        <v>2.1557454827420712E-2</v>
      </c>
      <c r="I45" s="47">
        <f t="shared" si="13"/>
        <v>2.1233393277988618E-2</v>
      </c>
      <c r="J45" s="47"/>
      <c r="K45" s="47">
        <f t="shared" si="14"/>
        <v>1.2932822236628935E-3</v>
      </c>
      <c r="L45" s="47">
        <f t="shared" si="7"/>
        <v>1.4741467174426634E-4</v>
      </c>
      <c r="M45" s="47">
        <f t="shared" si="9"/>
        <v>-1.7664687768782772E-4</v>
      </c>
      <c r="N45" s="47"/>
      <c r="O45" s="48">
        <v>4317</v>
      </c>
      <c r="P45" s="48">
        <v>4751</v>
      </c>
      <c r="Q45" s="48">
        <v>4656</v>
      </c>
      <c r="R45" s="48">
        <v>4995</v>
      </c>
      <c r="S45" s="48">
        <v>5466</v>
      </c>
      <c r="T45" s="48">
        <v>6028</v>
      </c>
      <c r="U45" s="48">
        <v>5986</v>
      </c>
      <c r="V45" s="48"/>
      <c r="W45" s="48">
        <v>2853182</v>
      </c>
      <c r="X45" s="48">
        <v>2896338</v>
      </c>
      <c r="Y45" s="48">
        <v>2953822</v>
      </c>
      <c r="Z45" s="48">
        <v>3013393</v>
      </c>
      <c r="AA45" s="48">
        <v>3068554</v>
      </c>
      <c r="AB45" s="48">
        <v>3134732</v>
      </c>
      <c r="AC45" s="48">
        <v>3161740</v>
      </c>
      <c r="AD45" s="48"/>
      <c r="AE45" s="48">
        <v>34720</v>
      </c>
      <c r="AF45" s="48">
        <v>39062</v>
      </c>
      <c r="AG45" s="48"/>
      <c r="AH45" s="48">
        <f t="shared" si="22"/>
        <v>1513.0475378016545</v>
      </c>
      <c r="AI45" s="48">
        <f t="shared" si="22"/>
        <v>1640.3472246678391</v>
      </c>
      <c r="AJ45" s="48">
        <f t="shared" si="22"/>
        <v>1576.2628892330006</v>
      </c>
      <c r="AK45" s="48">
        <f t="shared" si="22"/>
        <v>1657.5999214174851</v>
      </c>
      <c r="AL45" s="48">
        <f t="shared" si="22"/>
        <v>1781.2950334261675</v>
      </c>
      <c r="AM45" s="48">
        <f t="shared" si="22"/>
        <v>1922.9714055300421</v>
      </c>
      <c r="AN45" s="48">
        <f t="shared" si="22"/>
        <v>1893.2613054836893</v>
      </c>
      <c r="AO45" s="48">
        <f t="shared" si="10"/>
        <v>1864.8009330952721</v>
      </c>
      <c r="AP45" s="48"/>
      <c r="AQ45" s="249"/>
      <c r="AR45" s="246" t="s">
        <v>177</v>
      </c>
      <c r="AS45" s="245">
        <v>70580</v>
      </c>
      <c r="AT45" s="245">
        <v>70790</v>
      </c>
      <c r="AU45" s="245">
        <v>72630</v>
      </c>
      <c r="AV45" s="245">
        <v>72210</v>
      </c>
      <c r="AW45" s="245">
        <v>79820</v>
      </c>
      <c r="AX45" s="245">
        <v>80060</v>
      </c>
      <c r="AY45" s="245">
        <f t="shared" si="11"/>
        <v>82103.63252667489</v>
      </c>
      <c r="AZ45" s="245"/>
      <c r="BA45" s="46">
        <f t="shared" si="12"/>
        <v>2.5526261887020896E-2</v>
      </c>
      <c r="BB45" s="247"/>
      <c r="BC45" s="245"/>
      <c r="BD45" s="245"/>
      <c r="BE45" s="245"/>
    </row>
    <row r="46" spans="1:57" x14ac:dyDescent="0.25">
      <c r="A46" t="s">
        <v>228</v>
      </c>
      <c r="B46" s="47">
        <f t="shared" si="15"/>
        <v>1.3751424353388445E-2</v>
      </c>
      <c r="C46" s="47">
        <f t="shared" si="16"/>
        <v>1.2585679691004652E-2</v>
      </c>
      <c r="D46" s="47">
        <f t="shared" si="17"/>
        <v>1.2990140214715819E-2</v>
      </c>
      <c r="E46" s="47">
        <f t="shared" si="18"/>
        <v>1.3098661901387932E-2</v>
      </c>
      <c r="F46" s="47">
        <f t="shared" si="19"/>
        <v>1.1751573884549912E-2</v>
      </c>
      <c r="G46" s="47">
        <f t="shared" si="20"/>
        <v>1.133268542458118E-2</v>
      </c>
      <c r="H46" s="47">
        <f t="shared" si="21"/>
        <v>1.1205313414979016E-2</v>
      </c>
      <c r="I46" s="47">
        <f t="shared" si="13"/>
        <v>1.1279740315142858E-2</v>
      </c>
      <c r="J46" s="47"/>
      <c r="K46" s="47">
        <f t="shared" si="14"/>
        <v>-2.4187389288072656E-3</v>
      </c>
      <c r="L46" s="47">
        <f t="shared" si="7"/>
        <v>-2.546110938409429E-3</v>
      </c>
      <c r="M46" s="47">
        <f t="shared" si="9"/>
        <v>-2.4716840382455873E-3</v>
      </c>
      <c r="N46" s="47"/>
      <c r="O46" s="48">
        <v>2363</v>
      </c>
      <c r="P46" s="48">
        <v>2531</v>
      </c>
      <c r="Q46" s="48">
        <v>2696</v>
      </c>
      <c r="R46" s="48">
        <v>2922</v>
      </c>
      <c r="S46" s="48">
        <v>2859</v>
      </c>
      <c r="T46" s="48">
        <v>3087</v>
      </c>
      <c r="U46" s="48">
        <v>3240</v>
      </c>
      <c r="V46" s="48"/>
      <c r="W46" s="48">
        <v>2370162</v>
      </c>
      <c r="X46" s="48">
        <v>2400353</v>
      </c>
      <c r="Y46" s="48">
        <v>2443108</v>
      </c>
      <c r="Z46" s="48">
        <v>2480554</v>
      </c>
      <c r="AA46" s="48">
        <v>2517452</v>
      </c>
      <c r="AB46" s="48">
        <v>2557727</v>
      </c>
      <c r="AC46" s="48">
        <v>2514022</v>
      </c>
      <c r="AD46" s="48"/>
      <c r="AE46" s="48">
        <v>19405</v>
      </c>
      <c r="AF46" s="48">
        <v>20447</v>
      </c>
      <c r="AG46" s="48"/>
      <c r="AH46" s="48">
        <f t="shared" si="22"/>
        <v>996.97826562066223</v>
      </c>
      <c r="AI46" s="48">
        <f t="shared" si="22"/>
        <v>1054.4282445123697</v>
      </c>
      <c r="AJ46" s="48">
        <f t="shared" si="22"/>
        <v>1103.5124112401088</v>
      </c>
      <c r="AK46" s="48">
        <f t="shared" si="22"/>
        <v>1177.9626647918167</v>
      </c>
      <c r="AL46" s="48">
        <f t="shared" si="22"/>
        <v>1135.6721002029035</v>
      </c>
      <c r="AM46" s="48">
        <f t="shared" si="22"/>
        <v>1206.9309977178957</v>
      </c>
      <c r="AN46" s="48">
        <f t="shared" si="22"/>
        <v>1288.7715381965631</v>
      </c>
      <c r="AO46" s="48">
        <f t="shared" si="10"/>
        <v>1297.3316977436521</v>
      </c>
      <c r="AP46" s="48"/>
      <c r="AQ46" s="249"/>
      <c r="AR46" s="246" t="s">
        <v>172</v>
      </c>
      <c r="AS46" s="245">
        <v>70150</v>
      </c>
      <c r="AT46" s="245">
        <v>80170</v>
      </c>
      <c r="AU46" s="245">
        <v>74980</v>
      </c>
      <c r="AV46" s="245">
        <v>80650</v>
      </c>
      <c r="AW46" s="245">
        <v>81860</v>
      </c>
      <c r="AX46" s="245">
        <v>92290</v>
      </c>
      <c r="AY46" s="245">
        <f t="shared" si="11"/>
        <v>97494.482886500948</v>
      </c>
      <c r="AZ46" s="245"/>
      <c r="BA46" s="46">
        <f t="shared" si="12"/>
        <v>5.6392706539180271E-2</v>
      </c>
      <c r="BB46" s="247"/>
      <c r="BC46" s="245"/>
      <c r="BD46" s="245"/>
      <c r="BE46" s="245"/>
    </row>
    <row r="47" spans="1:57" x14ac:dyDescent="0.25">
      <c r="A47" t="s">
        <v>229</v>
      </c>
      <c r="B47" s="47">
        <f t="shared" si="15"/>
        <v>1.706148341911139E-2</v>
      </c>
      <c r="C47" s="47">
        <f t="shared" si="16"/>
        <v>1.7081546753070331E-2</v>
      </c>
      <c r="D47" s="47">
        <f t="shared" si="17"/>
        <v>1.5234568773739788E-2</v>
      </c>
      <c r="E47" s="47">
        <f t="shared" si="18"/>
        <v>1.7240591311945018E-2</v>
      </c>
      <c r="F47" s="47">
        <f t="shared" si="19"/>
        <v>1.7322429259187623E-2</v>
      </c>
      <c r="G47" s="47">
        <f t="shared" si="20"/>
        <v>1.5983925751665604E-2</v>
      </c>
      <c r="H47" s="47">
        <f t="shared" si="21"/>
        <v>1.5538703062569768E-2</v>
      </c>
      <c r="I47" s="47">
        <f t="shared" si="13"/>
        <v>1.5803031951056066E-2</v>
      </c>
      <c r="J47" s="47"/>
      <c r="K47" s="47">
        <f t="shared" si="14"/>
        <v>-1.077557667445786E-3</v>
      </c>
      <c r="L47" s="47">
        <f t="shared" si="7"/>
        <v>-1.5227803565416222E-3</v>
      </c>
      <c r="M47" s="47">
        <f t="shared" si="9"/>
        <v>-1.2584514680553244E-3</v>
      </c>
      <c r="N47" s="47"/>
      <c r="O47" s="48">
        <v>860</v>
      </c>
      <c r="P47" s="48">
        <v>892</v>
      </c>
      <c r="Q47" s="48">
        <v>945</v>
      </c>
      <c r="R47" s="48">
        <v>1034</v>
      </c>
      <c r="S47" s="48">
        <v>1083</v>
      </c>
      <c r="T47" s="48">
        <v>1133</v>
      </c>
      <c r="U47" s="48">
        <v>1175</v>
      </c>
      <c r="V47" s="48"/>
      <c r="W47" s="48">
        <v>763842</v>
      </c>
      <c r="X47" s="48">
        <v>782558</v>
      </c>
      <c r="Y47" s="48">
        <v>806422</v>
      </c>
      <c r="Z47" s="48">
        <v>826326</v>
      </c>
      <c r="AA47" s="48">
        <v>845895</v>
      </c>
      <c r="AB47" s="48">
        <v>868141</v>
      </c>
      <c r="AC47" s="48">
        <v>887506</v>
      </c>
      <c r="AD47" s="48"/>
      <c r="AE47" s="48">
        <v>8697</v>
      </c>
      <c r="AF47" s="48">
        <v>9936</v>
      </c>
      <c r="AG47" s="48"/>
      <c r="AH47" s="48">
        <f t="shared" si="22"/>
        <v>1125.8872908271605</v>
      </c>
      <c r="AI47" s="48">
        <f t="shared" si="22"/>
        <v>1139.8516148323831</v>
      </c>
      <c r="AJ47" s="48">
        <f t="shared" si="22"/>
        <v>1171.8430300760645</v>
      </c>
      <c r="AK47" s="48">
        <f t="shared" si="22"/>
        <v>1251.3221174209693</v>
      </c>
      <c r="AL47" s="48">
        <f t="shared" si="22"/>
        <v>1280.3007465465571</v>
      </c>
      <c r="AM47" s="48">
        <f t="shared" si="22"/>
        <v>1305.0875376234967</v>
      </c>
      <c r="AN47" s="48">
        <f t="shared" si="22"/>
        <v>1323.934711427303</v>
      </c>
      <c r="AO47" s="48">
        <f t="shared" si="10"/>
        <v>1346.4561657141148</v>
      </c>
      <c r="AP47" s="48"/>
      <c r="AQ47" s="249"/>
      <c r="AR47" s="246" t="s">
        <v>213</v>
      </c>
      <c r="AS47" s="245">
        <v>62030</v>
      </c>
      <c r="AT47" s="245">
        <v>60340</v>
      </c>
      <c r="AU47" s="245">
        <v>62540</v>
      </c>
      <c r="AV47" s="245">
        <v>61770</v>
      </c>
      <c r="AW47" s="245">
        <v>69100</v>
      </c>
      <c r="AX47" s="245">
        <v>76780</v>
      </c>
      <c r="AY47" s="245">
        <f t="shared" si="11"/>
        <v>80126.721459995824</v>
      </c>
      <c r="AZ47" s="245"/>
      <c r="BA47" s="46">
        <f t="shared" si="12"/>
        <v>4.3588453503462077E-2</v>
      </c>
      <c r="BB47" s="247"/>
      <c r="BC47" s="245"/>
      <c r="BD47" s="245"/>
      <c r="BE47" s="245"/>
    </row>
    <row r="48" spans="1:57" x14ac:dyDescent="0.25">
      <c r="A48" t="s">
        <v>230</v>
      </c>
      <c r="B48" s="47">
        <f t="shared" si="15"/>
        <v>1.9026971691125497E-2</v>
      </c>
      <c r="C48" s="47">
        <f t="shared" si="16"/>
        <v>2.0411793445449373E-2</v>
      </c>
      <c r="D48" s="47">
        <f t="shared" si="17"/>
        <v>1.8065657373516873E-2</v>
      </c>
      <c r="E48" s="47">
        <f t="shared" si="18"/>
        <v>1.6929386109533127E-2</v>
      </c>
      <c r="F48" s="47">
        <f t="shared" si="19"/>
        <v>1.6593402840128484E-2</v>
      </c>
      <c r="G48" s="47">
        <f t="shared" si="20"/>
        <v>1.5810940160092136E-2</v>
      </c>
      <c r="H48" s="47">
        <f t="shared" si="21"/>
        <v>1.5250068790204427E-2</v>
      </c>
      <c r="I48" s="47">
        <f t="shared" si="13"/>
        <v>1.5326442760987602E-2</v>
      </c>
      <c r="J48" s="47"/>
      <c r="K48" s="47">
        <f t="shared" si="14"/>
        <v>-3.2160315310333608E-3</v>
      </c>
      <c r="L48" s="47">
        <f t="shared" si="7"/>
        <v>-3.7769029009210708E-3</v>
      </c>
      <c r="M48" s="47">
        <f t="shared" si="9"/>
        <v>-3.7005289301378953E-3</v>
      </c>
      <c r="N48" s="47"/>
      <c r="O48" s="48">
        <v>591</v>
      </c>
      <c r="P48" s="48">
        <v>605</v>
      </c>
      <c r="Q48" s="48">
        <v>624</v>
      </c>
      <c r="R48" s="48">
        <v>668</v>
      </c>
      <c r="S48" s="48">
        <v>722</v>
      </c>
      <c r="T48" s="48">
        <v>722</v>
      </c>
      <c r="U48" s="48">
        <v>753</v>
      </c>
      <c r="V48" s="48"/>
      <c r="W48" s="48">
        <v>516052</v>
      </c>
      <c r="X48" s="48">
        <v>522378</v>
      </c>
      <c r="Y48" s="48">
        <v>531395</v>
      </c>
      <c r="Z48" s="48">
        <v>540743</v>
      </c>
      <c r="AA48" s="48">
        <v>549246</v>
      </c>
      <c r="AB48" s="48">
        <v>557429</v>
      </c>
      <c r="AC48" s="48">
        <v>566709</v>
      </c>
      <c r="AD48" s="48"/>
      <c r="AE48" s="48">
        <v>5308</v>
      </c>
      <c r="AF48" s="48">
        <v>5800</v>
      </c>
      <c r="AG48" s="48"/>
      <c r="AH48" s="48">
        <f t="shared" si="22"/>
        <v>1145.2334260888438</v>
      </c>
      <c r="AI48" s="48">
        <f t="shared" si="22"/>
        <v>1158.1651600947973</v>
      </c>
      <c r="AJ48" s="48">
        <f t="shared" si="22"/>
        <v>1174.2677292785968</v>
      </c>
      <c r="AK48" s="48">
        <f t="shared" si="22"/>
        <v>1235.3373044126322</v>
      </c>
      <c r="AL48" s="48">
        <f t="shared" si="22"/>
        <v>1314.5293729949785</v>
      </c>
      <c r="AM48" s="48">
        <f t="shared" si="22"/>
        <v>1295.2322179147479</v>
      </c>
      <c r="AN48" s="48">
        <f t="shared" si="22"/>
        <v>1328.7242658930775</v>
      </c>
      <c r="AO48" s="48">
        <f t="shared" si="10"/>
        <v>1335.3786587130887</v>
      </c>
      <c r="AP48" s="48"/>
      <c r="AQ48" s="249"/>
      <c r="AR48" s="246" t="s">
        <v>203</v>
      </c>
      <c r="AS48" s="245">
        <v>64260</v>
      </c>
      <c r="AT48" s="245">
        <v>70190</v>
      </c>
      <c r="AU48" s="245">
        <v>73890</v>
      </c>
      <c r="AV48" s="245">
        <v>67180</v>
      </c>
      <c r="AW48" s="245">
        <v>81740</v>
      </c>
      <c r="AX48" s="245">
        <v>79850</v>
      </c>
      <c r="AY48" s="245">
        <f t="shared" si="11"/>
        <v>83395.335525992341</v>
      </c>
      <c r="AZ48" s="245"/>
      <c r="BA48" s="46">
        <f t="shared" si="12"/>
        <v>4.4399943969847699E-2</v>
      </c>
      <c r="BB48" s="247"/>
      <c r="BC48" s="245"/>
      <c r="BD48" s="245"/>
      <c r="BE48" s="245"/>
    </row>
    <row r="49" spans="1:57" x14ac:dyDescent="0.25">
      <c r="A49" t="s">
        <v>231</v>
      </c>
      <c r="B49" s="47">
        <f t="shared" si="15"/>
        <v>1.8081554033661774E-2</v>
      </c>
      <c r="C49" s="47">
        <f t="shared" si="16"/>
        <v>2.1648490837260791E-2</v>
      </c>
      <c r="D49" s="47">
        <f t="shared" si="17"/>
        <v>2.0550905434951416E-2</v>
      </c>
      <c r="E49" s="47">
        <f t="shared" si="18"/>
        <v>2.1465057948349416E-2</v>
      </c>
      <c r="F49" s="47">
        <f t="shared" si="19"/>
        <v>2.1495176394556007E-2</v>
      </c>
      <c r="G49" s="47">
        <f t="shared" si="20"/>
        <v>2.0754044289837136E-2</v>
      </c>
      <c r="H49" s="47">
        <f t="shared" si="21"/>
        <v>1.6601624931182685E-2</v>
      </c>
      <c r="I49" s="47">
        <f t="shared" si="13"/>
        <v>1.6984302485096976E-2</v>
      </c>
      <c r="J49" s="47"/>
      <c r="K49" s="47">
        <f t="shared" si="14"/>
        <v>2.6724902561753618E-3</v>
      </c>
      <c r="L49" s="47">
        <f t="shared" si="7"/>
        <v>-1.4799291024790891E-3</v>
      </c>
      <c r="M49" s="47">
        <f t="shared" si="9"/>
        <v>-1.0972515485647982E-3</v>
      </c>
      <c r="N49" s="47"/>
      <c r="O49" s="48">
        <v>1545</v>
      </c>
      <c r="P49" s="48">
        <v>1624</v>
      </c>
      <c r="Q49" s="48">
        <v>1652</v>
      </c>
      <c r="R49" s="48">
        <v>1972</v>
      </c>
      <c r="S49" s="48">
        <v>2252</v>
      </c>
      <c r="T49" s="48">
        <v>2194</v>
      </c>
      <c r="U49" s="48">
        <v>1829</v>
      </c>
      <c r="V49" s="48"/>
      <c r="W49" s="48">
        <v>1204995</v>
      </c>
      <c r="X49" s="48">
        <v>1226566</v>
      </c>
      <c r="Y49" s="48">
        <v>1249390</v>
      </c>
      <c r="Z49" s="48">
        <v>1270154</v>
      </c>
      <c r="AA49" s="48">
        <v>1288497</v>
      </c>
      <c r="AB49" s="48">
        <v>1311755</v>
      </c>
      <c r="AC49" s="48">
        <v>1332500</v>
      </c>
      <c r="AD49" s="48"/>
      <c r="AE49" s="48">
        <v>12868</v>
      </c>
      <c r="AF49" s="48">
        <v>13909</v>
      </c>
      <c r="AG49" s="48"/>
      <c r="AH49" s="48">
        <f t="shared" si="22"/>
        <v>1282.1629965269565</v>
      </c>
      <c r="AI49" s="48">
        <f t="shared" si="22"/>
        <v>1324.02169960687</v>
      </c>
      <c r="AJ49" s="48">
        <f t="shared" si="22"/>
        <v>1322.2452556847741</v>
      </c>
      <c r="AK49" s="48">
        <f t="shared" si="22"/>
        <v>1552.5676414041131</v>
      </c>
      <c r="AL49" s="48">
        <f t="shared" si="22"/>
        <v>1747.7727926413488</v>
      </c>
      <c r="AM49" s="48">
        <f t="shared" si="22"/>
        <v>1672.5684293179747</v>
      </c>
      <c r="AN49" s="48">
        <f t="shared" si="22"/>
        <v>1372.6078799249531</v>
      </c>
      <c r="AO49" s="48">
        <f t="shared" si="10"/>
        <v>1404.247326554455</v>
      </c>
      <c r="AP49" s="48"/>
      <c r="AQ49" s="249"/>
      <c r="AR49" s="246" t="s">
        <v>220</v>
      </c>
      <c r="AS49" s="245">
        <v>56630</v>
      </c>
      <c r="AT49" s="245">
        <v>54970</v>
      </c>
      <c r="AU49" s="245">
        <v>62170</v>
      </c>
      <c r="AV49" s="245">
        <v>65380</v>
      </c>
      <c r="AW49" s="245">
        <v>72700</v>
      </c>
      <c r="AX49" s="245">
        <v>75860</v>
      </c>
      <c r="AY49" s="245">
        <f t="shared" si="11"/>
        <v>80427.782299743456</v>
      </c>
      <c r="AZ49" s="245"/>
      <c r="BA49" s="46">
        <f t="shared" si="12"/>
        <v>6.021331795074425E-2</v>
      </c>
      <c r="BB49" s="247"/>
      <c r="BC49" s="245"/>
      <c r="BD49" s="245"/>
      <c r="BE49" s="245"/>
    </row>
    <row r="50" spans="1:57" x14ac:dyDescent="0.25">
      <c r="A50" t="s">
        <v>232</v>
      </c>
      <c r="B50" s="47">
        <f t="shared" si="15"/>
        <v>1.809076366979696E-2</v>
      </c>
      <c r="C50" s="47">
        <f t="shared" si="16"/>
        <v>2.042559597912906E-2</v>
      </c>
      <c r="D50" s="47">
        <f t="shared" si="17"/>
        <v>1.9595427582146194E-2</v>
      </c>
      <c r="E50" s="47">
        <f t="shared" si="18"/>
        <v>1.9396189769917738E-2</v>
      </c>
      <c r="F50" s="47">
        <f t="shared" si="19"/>
        <v>1.79496824487934E-2</v>
      </c>
      <c r="G50" s="47">
        <f t="shared" si="20"/>
        <v>1.7371387151988622E-2</v>
      </c>
      <c r="H50" s="47">
        <f t="shared" si="21"/>
        <v>1.7768477251441445E-2</v>
      </c>
      <c r="I50" s="47">
        <f t="shared" si="13"/>
        <v>1.7384686284263696E-2</v>
      </c>
      <c r="J50" s="47"/>
      <c r="K50" s="47">
        <f t="shared" si="14"/>
        <v>-7.1937651780833861E-4</v>
      </c>
      <c r="L50" s="47">
        <f t="shared" si="7"/>
        <v>-3.2228641835551491E-4</v>
      </c>
      <c r="M50" s="47">
        <f t="shared" si="9"/>
        <v>-7.0607738553326443E-4</v>
      </c>
      <c r="N50" s="47"/>
      <c r="O50" s="48">
        <v>860</v>
      </c>
      <c r="P50" s="48">
        <v>942</v>
      </c>
      <c r="Q50" s="48">
        <v>958</v>
      </c>
      <c r="R50" s="48">
        <v>1008</v>
      </c>
      <c r="S50" s="48">
        <v>1016</v>
      </c>
      <c r="T50" s="48">
        <v>1043</v>
      </c>
      <c r="U50" s="48">
        <v>1090</v>
      </c>
      <c r="V50" s="48"/>
      <c r="W50" s="48">
        <v>895087</v>
      </c>
      <c r="X50" s="48">
        <v>905885</v>
      </c>
      <c r="Y50" s="48">
        <v>914496</v>
      </c>
      <c r="Z50" s="48">
        <v>921109</v>
      </c>
      <c r="AA50" s="48">
        <v>928217</v>
      </c>
      <c r="AB50" s="48">
        <v>936097</v>
      </c>
      <c r="AC50" s="48">
        <v>920994</v>
      </c>
      <c r="AD50" s="48"/>
      <c r="AE50" s="48">
        <v>6872</v>
      </c>
      <c r="AF50" s="48">
        <v>7227</v>
      </c>
      <c r="AG50" s="48"/>
      <c r="AH50" s="48">
        <f t="shared" si="22"/>
        <v>960.80045850291651</v>
      </c>
      <c r="AI50" s="48">
        <f t="shared" si="22"/>
        <v>1039.8670912974605</v>
      </c>
      <c r="AJ50" s="48">
        <f t="shared" si="22"/>
        <v>1047.5715585415355</v>
      </c>
      <c r="AK50" s="48">
        <f t="shared" si="22"/>
        <v>1094.3330268187588</v>
      </c>
      <c r="AL50" s="48">
        <f t="shared" si="22"/>
        <v>1094.5716357274216</v>
      </c>
      <c r="AM50" s="48">
        <f t="shared" si="22"/>
        <v>1114.2007719285502</v>
      </c>
      <c r="AN50" s="48">
        <f t="shared" si="22"/>
        <v>1183.5039099060364</v>
      </c>
      <c r="AO50" s="48">
        <f t="shared" si="10"/>
        <v>1157.9407677293684</v>
      </c>
      <c r="AP50" s="48"/>
      <c r="AQ50" s="249"/>
      <c r="AR50" s="246" t="s">
        <v>225</v>
      </c>
      <c r="AS50" s="245">
        <v>67440</v>
      </c>
      <c r="AT50" s="245">
        <v>68400</v>
      </c>
      <c r="AU50" s="245">
        <v>67400</v>
      </c>
      <c r="AV50" s="245">
        <v>74640</v>
      </c>
      <c r="AW50" s="245">
        <v>79060</v>
      </c>
      <c r="AX50" s="245">
        <v>81490</v>
      </c>
      <c r="AY50" s="245">
        <f t="shared" si="11"/>
        <v>84633.376768636226</v>
      </c>
      <c r="AZ50" s="245"/>
      <c r="BA50" s="46">
        <f t="shared" si="12"/>
        <v>3.8573773084258578E-2</v>
      </c>
      <c r="BB50" s="247"/>
      <c r="BC50" s="245"/>
      <c r="BD50" s="245"/>
      <c r="BE50" s="245"/>
    </row>
    <row r="51" spans="1:57" x14ac:dyDescent="0.25">
      <c r="A51" t="s">
        <v>233</v>
      </c>
      <c r="B51" s="47">
        <f t="shared" si="15"/>
        <v>1.0738146850304256E-2</v>
      </c>
      <c r="C51" s="47">
        <f t="shared" si="16"/>
        <v>1.1467337527423261E-2</v>
      </c>
      <c r="D51" s="47">
        <f t="shared" si="17"/>
        <v>1.1070246139764093E-2</v>
      </c>
      <c r="E51" s="47">
        <f t="shared" si="18"/>
        <v>1.0629616834720476E-2</v>
      </c>
      <c r="F51" s="47">
        <f t="shared" si="19"/>
        <v>1.0079469812453362E-2</v>
      </c>
      <c r="G51" s="47">
        <f t="shared" si="20"/>
        <v>1.0908228799162345E-2</v>
      </c>
      <c r="H51" s="47">
        <f t="shared" si="21"/>
        <v>1.1241071407116299E-2</v>
      </c>
      <c r="I51" s="47">
        <f t="shared" si="13"/>
        <v>1.0522783640922144E-2</v>
      </c>
      <c r="J51" s="47"/>
      <c r="K51" s="47">
        <f t="shared" si="14"/>
        <v>1.7008194885808833E-4</v>
      </c>
      <c r="L51" s="47">
        <f t="shared" si="7"/>
        <v>5.0292455681204273E-4</v>
      </c>
      <c r="M51" s="47">
        <f t="shared" si="9"/>
        <v>-2.1536320938211201E-4</v>
      </c>
      <c r="N51" s="47"/>
      <c r="O51" s="48">
        <v>1013</v>
      </c>
      <c r="P51" s="48">
        <v>1101</v>
      </c>
      <c r="Q51" s="48">
        <v>1142</v>
      </c>
      <c r="R51" s="48">
        <v>1230</v>
      </c>
      <c r="S51" s="48">
        <v>1269</v>
      </c>
      <c r="T51" s="48">
        <v>1444</v>
      </c>
      <c r="U51" s="48">
        <v>1537</v>
      </c>
      <c r="V51" s="48"/>
      <c r="W51" s="48">
        <v>1116145</v>
      </c>
      <c r="X51" s="48">
        <v>1143134</v>
      </c>
      <c r="Y51" s="48">
        <v>1176947</v>
      </c>
      <c r="Z51" s="48">
        <v>1207875</v>
      </c>
      <c r="AA51" s="48">
        <v>1244066</v>
      </c>
      <c r="AB51" s="48">
        <v>1272857</v>
      </c>
      <c r="AC51" s="48">
        <v>1261299</v>
      </c>
      <c r="AD51" s="48"/>
      <c r="AE51" s="48">
        <v>9740</v>
      </c>
      <c r="AF51" s="48">
        <v>11758</v>
      </c>
      <c r="AG51" s="48"/>
      <c r="AH51" s="48">
        <f t="shared" si="22"/>
        <v>907.58817178771574</v>
      </c>
      <c r="AI51" s="48">
        <f t="shared" si="22"/>
        <v>963.14167892827959</v>
      </c>
      <c r="AJ51" s="48">
        <f t="shared" si="22"/>
        <v>970.30707415032282</v>
      </c>
      <c r="AK51" s="48">
        <f t="shared" si="22"/>
        <v>1018.3172927662217</v>
      </c>
      <c r="AL51" s="48">
        <f t="shared" si="22"/>
        <v>1020.0423450202803</v>
      </c>
      <c r="AM51" s="48">
        <f t="shared" si="22"/>
        <v>1134.4557951128838</v>
      </c>
      <c r="AN51" s="48">
        <f t="shared" si="22"/>
        <v>1218.5849667683872</v>
      </c>
      <c r="AO51" s="48">
        <f t="shared" si="10"/>
        <v>1140.7191973948622</v>
      </c>
      <c r="AP51" s="48"/>
      <c r="AQ51" s="249"/>
      <c r="AR51" s="246" t="s">
        <v>233</v>
      </c>
      <c r="AS51" s="245">
        <v>84520</v>
      </c>
      <c r="AT51" s="245">
        <v>83990</v>
      </c>
      <c r="AU51" s="245">
        <v>87650</v>
      </c>
      <c r="AV51" s="245">
        <v>95800</v>
      </c>
      <c r="AW51" s="245">
        <v>101200</v>
      </c>
      <c r="AX51" s="245">
        <v>104000</v>
      </c>
      <c r="AY51" s="245">
        <f t="shared" si="11"/>
        <v>108404.69939519705</v>
      </c>
      <c r="AZ51" s="245"/>
      <c r="BA51" s="46">
        <f t="shared" si="12"/>
        <v>4.2352878799971627E-2</v>
      </c>
      <c r="BB51" s="247"/>
      <c r="BC51" s="245"/>
      <c r="BD51" s="245"/>
      <c r="BE51" s="245"/>
    </row>
    <row r="52" spans="1:57" x14ac:dyDescent="0.25">
      <c r="A52" t="s">
        <v>234</v>
      </c>
      <c r="B52" s="47">
        <f t="shared" si="15"/>
        <v>1.7762451277261008E-2</v>
      </c>
      <c r="C52" s="47">
        <f t="shared" si="16"/>
        <v>1.7712670429446738E-2</v>
      </c>
      <c r="D52" s="47">
        <f t="shared" si="17"/>
        <v>1.6368334530322524E-2</v>
      </c>
      <c r="E52" s="47">
        <f t="shared" si="18"/>
        <v>1.623573004499718E-2</v>
      </c>
      <c r="F52" s="47">
        <f t="shared" si="19"/>
        <v>1.5431165669706839E-2</v>
      </c>
      <c r="G52" s="47">
        <f t="shared" si="20"/>
        <v>1.6415254211977211E-2</v>
      </c>
      <c r="H52" s="47">
        <f t="shared" si="21"/>
        <v>1.6681753016110985E-2</v>
      </c>
      <c r="I52" s="47">
        <f t="shared" si="13"/>
        <v>1.6955394995980394E-2</v>
      </c>
      <c r="J52" s="47"/>
      <c r="K52" s="47">
        <f t="shared" si="14"/>
        <v>-1.3471970652837971E-3</v>
      </c>
      <c r="L52" s="47">
        <f t="shared" si="7"/>
        <v>-1.0806982611500232E-3</v>
      </c>
      <c r="M52" s="47">
        <f t="shared" si="9"/>
        <v>-8.0705628128061382E-4</v>
      </c>
      <c r="N52" s="47"/>
      <c r="O52" s="48">
        <v>318</v>
      </c>
      <c r="P52" s="48">
        <v>320</v>
      </c>
      <c r="Q52" s="48">
        <v>324</v>
      </c>
      <c r="R52" s="48">
        <v>334</v>
      </c>
      <c r="S52" s="48">
        <v>338</v>
      </c>
      <c r="T52" s="48">
        <v>370</v>
      </c>
      <c r="U52" s="48">
        <v>395</v>
      </c>
      <c r="V52" s="48"/>
      <c r="W52" s="48">
        <v>274880</v>
      </c>
      <c r="X52" s="48">
        <v>276030</v>
      </c>
      <c r="Y52" s="48">
        <v>278597</v>
      </c>
      <c r="Z52" s="48">
        <v>281460</v>
      </c>
      <c r="AA52" s="48">
        <v>283727</v>
      </c>
      <c r="AB52" s="48">
        <v>286477</v>
      </c>
      <c r="AC52" s="48">
        <v>289784</v>
      </c>
      <c r="AD52" s="48"/>
      <c r="AE52" s="48">
        <v>2849</v>
      </c>
      <c r="AF52" s="48">
        <v>2955</v>
      </c>
      <c r="AG52" s="48"/>
      <c r="AH52" s="48">
        <f t="shared" si="22"/>
        <v>1156.8684516880094</v>
      </c>
      <c r="AI52" s="48">
        <f t="shared" si="22"/>
        <v>1159.2942796072891</v>
      </c>
      <c r="AJ52" s="48">
        <f t="shared" si="22"/>
        <v>1162.9701683794153</v>
      </c>
      <c r="AK52" s="48">
        <f t="shared" si="22"/>
        <v>1186.669508988844</v>
      </c>
      <c r="AL52" s="48">
        <f t="shared" si="22"/>
        <v>1191.285989701368</v>
      </c>
      <c r="AM52" s="48">
        <f t="shared" si="22"/>
        <v>1291.5522013983671</v>
      </c>
      <c r="AN52" s="48">
        <f t="shared" si="22"/>
        <v>1363.0842282527676</v>
      </c>
      <c r="AO52" s="48">
        <f t="shared" si="10"/>
        <v>1385.4438127992848</v>
      </c>
      <c r="AP52" s="48"/>
      <c r="AQ52" s="249"/>
      <c r="AR52" s="246" t="s">
        <v>173</v>
      </c>
      <c r="AS52" s="245">
        <v>74310</v>
      </c>
      <c r="AT52" s="245">
        <v>67260</v>
      </c>
      <c r="AU52" s="245">
        <v>76080</v>
      </c>
      <c r="AV52" s="245">
        <v>72190</v>
      </c>
      <c r="AW52" s="245">
        <v>85190</v>
      </c>
      <c r="AX52" s="245">
        <v>85260</v>
      </c>
      <c r="AY52" s="245">
        <f t="shared" si="11"/>
        <v>87636.483291492885</v>
      </c>
      <c r="AZ52" s="245"/>
      <c r="BA52" s="46">
        <f t="shared" si="12"/>
        <v>2.7873367247160274E-2</v>
      </c>
      <c r="BB52" s="247"/>
      <c r="BC52" s="245"/>
      <c r="BD52" s="245"/>
      <c r="BE52" s="245"/>
    </row>
    <row r="53" spans="1:57" x14ac:dyDescent="0.25">
      <c r="A53" t="s">
        <v>236</v>
      </c>
      <c r="B53" s="47">
        <f t="shared" si="15"/>
        <v>1.5659583732136384E-2</v>
      </c>
      <c r="C53" s="47">
        <f t="shared" si="16"/>
        <v>1.8070945800993717E-2</v>
      </c>
      <c r="D53" s="47">
        <f t="shared" si="17"/>
        <v>1.8190874569769932E-2</v>
      </c>
      <c r="E53" s="47">
        <f t="shared" si="18"/>
        <v>1.9454832041565184E-2</v>
      </c>
      <c r="F53" s="47">
        <f t="shared" si="19"/>
        <v>1.9336526684466275E-2</v>
      </c>
      <c r="G53" s="47">
        <f t="shared" si="20"/>
        <v>1.9188277851359466E-2</v>
      </c>
      <c r="H53" s="47">
        <f t="shared" si="21"/>
        <v>1.7720309533643241E-2</v>
      </c>
      <c r="I53" s="47">
        <f t="shared" si="13"/>
        <v>1.9631240687922078E-2</v>
      </c>
      <c r="J53" s="47"/>
      <c r="K53" s="47">
        <f t="shared" si="14"/>
        <v>3.5286941192230817E-3</v>
      </c>
      <c r="L53" s="47">
        <f t="shared" si="7"/>
        <v>2.0607258015068568E-3</v>
      </c>
      <c r="M53" s="47">
        <f t="shared" si="9"/>
        <v>3.9716569557856941E-3</v>
      </c>
      <c r="N53" s="47"/>
      <c r="O53" s="48">
        <v>16764</v>
      </c>
      <c r="P53" s="48">
        <v>19413</v>
      </c>
      <c r="Q53" s="48">
        <v>20604</v>
      </c>
      <c r="R53" s="48">
        <v>23137</v>
      </c>
      <c r="S53" s="48">
        <v>24440</v>
      </c>
      <c r="T53" s="48">
        <v>27444</v>
      </c>
      <c r="U53" s="48">
        <v>26662</v>
      </c>
      <c r="V53" s="48"/>
      <c r="W53" s="48">
        <v>13707126</v>
      </c>
      <c r="X53" s="48">
        <v>13834718</v>
      </c>
      <c r="Y53" s="48">
        <v>13883989</v>
      </c>
      <c r="Z53" s="48">
        <v>13942175</v>
      </c>
      <c r="AA53" s="48">
        <v>14063972</v>
      </c>
      <c r="AB53" s="48">
        <v>14217179</v>
      </c>
      <c r="AC53" s="48">
        <v>14217854</v>
      </c>
      <c r="AD53" s="48"/>
      <c r="AE53" s="48">
        <v>87524</v>
      </c>
      <c r="AF53" s="48">
        <v>81948</v>
      </c>
      <c r="AG53" s="48"/>
      <c r="AH53" s="48">
        <f t="shared" si="22"/>
        <v>1223.0134894798516</v>
      </c>
      <c r="AI53" s="48">
        <f t="shared" si="22"/>
        <v>1403.208941447162</v>
      </c>
      <c r="AJ53" s="48">
        <f t="shared" si="22"/>
        <v>1484.011547401831</v>
      </c>
      <c r="AK53" s="48">
        <f t="shared" si="22"/>
        <v>1659.49717314551</v>
      </c>
      <c r="AL53" s="48">
        <f t="shared" si="22"/>
        <v>1737.773653132984</v>
      </c>
      <c r="AM53" s="48">
        <f t="shared" si="22"/>
        <v>1930.3407518467623</v>
      </c>
      <c r="AN53" s="48">
        <f t="shared" si="22"/>
        <v>1875.247839793544</v>
      </c>
      <c r="AO53" s="48">
        <f t="shared" si="10"/>
        <v>2077.471706834473</v>
      </c>
      <c r="AP53" s="48"/>
      <c r="AQ53" s="249"/>
      <c r="AR53" s="246" t="s">
        <v>214</v>
      </c>
      <c r="AS53" s="245">
        <v>81310</v>
      </c>
      <c r="AT53" s="245">
        <v>82210</v>
      </c>
      <c r="AU53" s="245">
        <v>80270</v>
      </c>
      <c r="AV53" s="245">
        <v>85170</v>
      </c>
      <c r="AW53" s="245">
        <v>96490</v>
      </c>
      <c r="AX53" s="245">
        <v>97720</v>
      </c>
      <c r="AY53" s="245">
        <f t="shared" si="11"/>
        <v>101379.78310576096</v>
      </c>
      <c r="AZ53" s="245"/>
      <c r="BA53" s="46">
        <f t="shared" si="12"/>
        <v>3.7451730513313075E-2</v>
      </c>
      <c r="BB53" s="247"/>
      <c r="BC53" s="245"/>
      <c r="BD53" s="245"/>
      <c r="BE53" s="245"/>
    </row>
    <row r="54" spans="1:57" x14ac:dyDescent="0.25">
      <c r="A54" t="s">
        <v>237</v>
      </c>
      <c r="B54" s="47">
        <f t="shared" si="15"/>
        <v>1.6183708802980503E-2</v>
      </c>
      <c r="C54" s="47">
        <f t="shared" si="16"/>
        <v>1.597818024371081E-2</v>
      </c>
      <c r="D54" s="47">
        <f t="shared" si="17"/>
        <v>1.5609468764647833E-2</v>
      </c>
      <c r="E54" s="47">
        <f t="shared" si="18"/>
        <v>1.4941467770447508E-2</v>
      </c>
      <c r="F54" s="47">
        <f t="shared" si="19"/>
        <v>1.5909929564024358E-2</v>
      </c>
      <c r="G54" s="47">
        <f t="shared" si="20"/>
        <v>1.7342999141778764E-2</v>
      </c>
      <c r="H54" s="47">
        <f t="shared" si="21"/>
        <v>1.7293624628934735E-2</v>
      </c>
      <c r="I54" s="47">
        <f t="shared" si="13"/>
        <v>1.8044884385742511E-2</v>
      </c>
      <c r="J54" s="47"/>
      <c r="K54" s="47">
        <f t="shared" si="14"/>
        <v>1.1592903387982606E-3</v>
      </c>
      <c r="L54" s="47">
        <f t="shared" si="7"/>
        <v>1.1099158259542316E-3</v>
      </c>
      <c r="M54" s="47">
        <f t="shared" si="9"/>
        <v>1.8611755827620084E-3</v>
      </c>
      <c r="N54" s="47"/>
      <c r="O54" s="48">
        <v>2124</v>
      </c>
      <c r="P54" s="48">
        <v>2192</v>
      </c>
      <c r="Q54" s="48">
        <v>2307</v>
      </c>
      <c r="R54" s="48">
        <v>2368</v>
      </c>
      <c r="S54" s="48">
        <v>2603</v>
      </c>
      <c r="T54" s="48">
        <v>2906</v>
      </c>
      <c r="U54" s="48">
        <v>3042</v>
      </c>
      <c r="V54" s="48"/>
      <c r="W54" s="48">
        <v>1763783</v>
      </c>
      <c r="X54" s="48">
        <v>1785128</v>
      </c>
      <c r="Y54" s="48">
        <v>1805680</v>
      </c>
      <c r="Z54" s="48">
        <v>1826286</v>
      </c>
      <c r="AA54" s="48">
        <v>1843684</v>
      </c>
      <c r="AB54" s="48">
        <v>1868009</v>
      </c>
      <c r="AC54" s="48">
        <v>1889072</v>
      </c>
      <c r="AD54" s="48"/>
      <c r="AE54" s="48">
        <v>19286</v>
      </c>
      <c r="AF54" s="48">
        <v>19796</v>
      </c>
      <c r="AG54" s="48"/>
      <c r="AH54" s="48">
        <f t="shared" si="22"/>
        <v>1204.2297720297793</v>
      </c>
      <c r="AI54" s="48">
        <f t="shared" si="22"/>
        <v>1227.9231517291757</v>
      </c>
      <c r="AJ54" s="48">
        <f t="shared" si="22"/>
        <v>1277.6350183864251</v>
      </c>
      <c r="AK54" s="48">
        <f t="shared" si="22"/>
        <v>1296.6205731194348</v>
      </c>
      <c r="AL54" s="48">
        <f t="shared" si="22"/>
        <v>1411.8471495115216</v>
      </c>
      <c r="AM54" s="48">
        <f t="shared" si="22"/>
        <v>1555.667023017555</v>
      </c>
      <c r="AN54" s="48">
        <f t="shared" si="22"/>
        <v>1610.3144824548774</v>
      </c>
      <c r="AO54" s="48">
        <f t="shared" si="10"/>
        <v>1680.268843812356</v>
      </c>
      <c r="AP54" s="48"/>
      <c r="AQ54" s="249"/>
      <c r="AR54" s="246" t="s">
        <v>238</v>
      </c>
      <c r="AS54" s="245">
        <v>82450</v>
      </c>
      <c r="AT54" s="245">
        <v>81360</v>
      </c>
      <c r="AU54" s="245">
        <v>87650</v>
      </c>
      <c r="AV54" s="245">
        <v>89430</v>
      </c>
      <c r="AW54" s="245">
        <v>93440</v>
      </c>
      <c r="AX54" s="245">
        <v>97500</v>
      </c>
      <c r="AY54" s="245">
        <f t="shared" si="11"/>
        <v>100824.80873959356</v>
      </c>
      <c r="AZ54" s="245"/>
      <c r="BA54" s="46">
        <f t="shared" si="12"/>
        <v>3.4100602457369789E-2</v>
      </c>
      <c r="BB54" s="247"/>
      <c r="BC54" s="245"/>
      <c r="BD54" s="245"/>
      <c r="BE54" s="245"/>
    </row>
    <row r="55" spans="1:57" x14ac:dyDescent="0.25">
      <c r="A55" t="s">
        <v>238</v>
      </c>
      <c r="B55" s="47">
        <f t="shared" si="15"/>
        <v>1.3753399905198416E-2</v>
      </c>
      <c r="C55" s="47">
        <f t="shared" si="16"/>
        <v>1.4117363303449568E-2</v>
      </c>
      <c r="D55" s="47">
        <f t="shared" si="17"/>
        <v>1.3616527033474001E-2</v>
      </c>
      <c r="E55" s="47">
        <f t="shared" si="18"/>
        <v>1.3933424349385187E-2</v>
      </c>
      <c r="F55" s="47">
        <f t="shared" si="19"/>
        <v>1.3787643706331214E-2</v>
      </c>
      <c r="G55" s="47">
        <f t="shared" si="20"/>
        <v>1.3991929752658163E-2</v>
      </c>
      <c r="H55" s="47">
        <f t="shared" si="21"/>
        <v>1.4891058697588362E-2</v>
      </c>
      <c r="I55" s="47">
        <f t="shared" si="13"/>
        <v>1.5184669829630812E-2</v>
      </c>
      <c r="J55" s="47"/>
      <c r="K55" s="47">
        <f t="shared" si="14"/>
        <v>2.3852984745974769E-4</v>
      </c>
      <c r="L55" s="47">
        <f t="shared" si="7"/>
        <v>1.1376587923899468E-3</v>
      </c>
      <c r="M55" s="47">
        <f t="shared" si="9"/>
        <v>1.4312699244323959E-3</v>
      </c>
      <c r="N55" s="47"/>
      <c r="O55" s="48">
        <v>3545</v>
      </c>
      <c r="P55" s="48">
        <v>3639</v>
      </c>
      <c r="Q55" s="48">
        <v>3844</v>
      </c>
      <c r="R55" s="48">
        <v>4079</v>
      </c>
      <c r="S55" s="48">
        <v>4277</v>
      </c>
      <c r="T55" s="48">
        <v>4596</v>
      </c>
      <c r="U55" s="48">
        <v>5111</v>
      </c>
      <c r="V55" s="48"/>
      <c r="W55" s="48">
        <v>3126191</v>
      </c>
      <c r="X55" s="48">
        <v>3168236</v>
      </c>
      <c r="Y55" s="48">
        <v>3220810</v>
      </c>
      <c r="Z55" s="48">
        <v>3273502</v>
      </c>
      <c r="AA55" s="48">
        <v>3319834</v>
      </c>
      <c r="AB55" s="48">
        <v>3368975</v>
      </c>
      <c r="AC55" s="48">
        <v>3404183</v>
      </c>
      <c r="AD55" s="48"/>
      <c r="AE55" s="48">
        <v>36512</v>
      </c>
      <c r="AF55" s="48">
        <v>38990</v>
      </c>
      <c r="AG55" s="48"/>
      <c r="AH55" s="48">
        <f t="shared" si="22"/>
        <v>1133.9678221836093</v>
      </c>
      <c r="AI55" s="48">
        <f t="shared" si="22"/>
        <v>1148.5886783686569</v>
      </c>
      <c r="AJ55" s="48">
        <f t="shared" si="22"/>
        <v>1193.4885944839962</v>
      </c>
      <c r="AK55" s="48">
        <f t="shared" si="22"/>
        <v>1246.0661395655172</v>
      </c>
      <c r="AL55" s="48">
        <f t="shared" si="22"/>
        <v>1288.3174279195887</v>
      </c>
      <c r="AM55" s="48">
        <f t="shared" si="22"/>
        <v>1364.213150884171</v>
      </c>
      <c r="AN55" s="48">
        <f t="shared" si="22"/>
        <v>1501.3881451144077</v>
      </c>
      <c r="AO55" s="48">
        <f t="shared" si="10"/>
        <v>1530.9914313464033</v>
      </c>
      <c r="AP55" s="48"/>
      <c r="AQ55" s="249"/>
      <c r="AR55" s="246" t="s">
        <v>215</v>
      </c>
      <c r="AS55" s="245">
        <v>53710</v>
      </c>
      <c r="AT55" s="245">
        <v>51970</v>
      </c>
      <c r="AU55" s="245">
        <v>46840</v>
      </c>
      <c r="AV55" s="245">
        <v>52460</v>
      </c>
      <c r="AW55" s="245">
        <v>60410</v>
      </c>
      <c r="AX55" s="245">
        <v>63150</v>
      </c>
      <c r="AY55" s="245">
        <f t="shared" si="11"/>
        <v>65228.440497475116</v>
      </c>
      <c r="AZ55" s="245"/>
      <c r="BA55" s="46">
        <f t="shared" si="12"/>
        <v>3.2912755304435715E-2</v>
      </c>
      <c r="BB55" s="247"/>
      <c r="BC55" s="245"/>
      <c r="BD55" s="245"/>
      <c r="BE55" s="245"/>
    </row>
    <row r="56" spans="1:57" x14ac:dyDescent="0.25">
      <c r="A56" t="s">
        <v>240</v>
      </c>
      <c r="B56" s="47">
        <f t="shared" si="15"/>
        <v>1.9490598755550492E-2</v>
      </c>
      <c r="C56" s="47">
        <f t="shared" si="16"/>
        <v>2.0032554173787968E-2</v>
      </c>
      <c r="D56" s="47">
        <f t="shared" si="17"/>
        <v>1.9809100541026577E-2</v>
      </c>
      <c r="E56" s="47">
        <f t="shared" si="18"/>
        <v>1.7943090734946023E-2</v>
      </c>
      <c r="F56" s="47">
        <f t="shared" si="19"/>
        <v>1.6848277064654162E-2</v>
      </c>
      <c r="G56" s="47">
        <f t="shared" si="20"/>
        <v>1.8875180476929321E-2</v>
      </c>
      <c r="H56" s="47">
        <f t="shared" si="21"/>
        <v>1.8783007125318781E-2</v>
      </c>
      <c r="I56" s="47">
        <f t="shared" si="13"/>
        <v>1.8496859801299233E-2</v>
      </c>
      <c r="J56" s="47"/>
      <c r="K56" s="47">
        <f t="shared" si="14"/>
        <v>-6.1541827862117079E-4</v>
      </c>
      <c r="L56" s="47">
        <f t="shared" si="7"/>
        <v>-7.0759163023171104E-4</v>
      </c>
      <c r="M56" s="47">
        <f t="shared" si="9"/>
        <v>-9.9373895425125883E-4</v>
      </c>
      <c r="N56" s="47"/>
      <c r="O56" s="48">
        <v>442</v>
      </c>
      <c r="P56" s="48">
        <v>472</v>
      </c>
      <c r="Q56" s="48">
        <v>470</v>
      </c>
      <c r="R56" s="48">
        <v>474</v>
      </c>
      <c r="S56" s="48">
        <v>490</v>
      </c>
      <c r="T56" s="48">
        <v>514</v>
      </c>
      <c r="U56" s="48">
        <v>535</v>
      </c>
      <c r="V56" s="48"/>
      <c r="W56" s="48">
        <v>289292</v>
      </c>
      <c r="X56" s="48">
        <v>315206</v>
      </c>
      <c r="Y56" s="48">
        <v>292450</v>
      </c>
      <c r="Z56" s="48">
        <v>294371</v>
      </c>
      <c r="AA56" s="48">
        <v>296192</v>
      </c>
      <c r="AB56" s="48">
        <v>298395</v>
      </c>
      <c r="AC56" s="48">
        <v>302764</v>
      </c>
      <c r="AD56" s="48"/>
      <c r="AE56" s="48">
        <v>1928</v>
      </c>
      <c r="AF56" s="48">
        <v>2049</v>
      </c>
      <c r="AG56" s="48"/>
      <c r="AH56" s="48">
        <f t="shared" si="22"/>
        <v>1527.8680364476031</v>
      </c>
      <c r="AI56" s="48">
        <f t="shared" si="22"/>
        <v>1497.4334244906506</v>
      </c>
      <c r="AJ56" s="48">
        <f t="shared" si="22"/>
        <v>1607.1123268934862</v>
      </c>
      <c r="AK56" s="48">
        <f t="shared" si="22"/>
        <v>1610.212962554056</v>
      </c>
      <c r="AL56" s="48">
        <f t="shared" si="22"/>
        <v>1654.3323249783923</v>
      </c>
      <c r="AM56" s="48">
        <f t="shared" si="22"/>
        <v>1722.5489703245698</v>
      </c>
      <c r="AN56" s="48">
        <f t="shared" si="22"/>
        <v>1767.0528860762838</v>
      </c>
      <c r="AO56" s="48">
        <f t="shared" si="10"/>
        <v>1740.1329444834294</v>
      </c>
      <c r="AP56" s="48"/>
      <c r="AQ56" s="249"/>
      <c r="AR56" s="246" t="s">
        <v>185</v>
      </c>
      <c r="AS56" s="245">
        <v>67350</v>
      </c>
      <c r="AT56" s="245">
        <v>67410</v>
      </c>
      <c r="AU56" s="245">
        <v>69940</v>
      </c>
      <c r="AV56" s="245">
        <v>73330</v>
      </c>
      <c r="AW56" s="245">
        <v>79690</v>
      </c>
      <c r="AX56" s="245">
        <v>82560</v>
      </c>
      <c r="AY56" s="245">
        <f t="shared" si="11"/>
        <v>85991.614140819496</v>
      </c>
      <c r="AZ56" s="245"/>
      <c r="BA56" s="46">
        <f t="shared" si="12"/>
        <v>4.1565093759926119E-2</v>
      </c>
      <c r="BB56" s="247"/>
      <c r="BC56" s="245"/>
      <c r="BD56" s="245"/>
      <c r="BE56" s="245"/>
    </row>
    <row r="57" spans="1:57" x14ac:dyDescent="0.25">
      <c r="A57" t="s">
        <v>241</v>
      </c>
      <c r="B57" s="47">
        <f t="shared" si="15"/>
        <v>2.2939727642217737E-2</v>
      </c>
      <c r="C57" s="47">
        <f t="shared" si="16"/>
        <v>2.4155386032813798E-2</v>
      </c>
      <c r="D57" s="47">
        <f t="shared" si="17"/>
        <v>2.5947196653902181E-2</v>
      </c>
      <c r="E57" s="47">
        <f t="shared" si="18"/>
        <v>2.9219859966505977E-2</v>
      </c>
      <c r="F57" s="47">
        <f t="shared" si="19"/>
        <v>2.6287786935061602E-2</v>
      </c>
      <c r="G57" s="47">
        <f t="shared" si="20"/>
        <v>2.5920295509861815E-2</v>
      </c>
      <c r="H57" s="47">
        <f t="shared" si="21"/>
        <v>2.4770805818912736E-2</v>
      </c>
      <c r="I57" s="47">
        <f t="shared" si="13"/>
        <v>2.5443565475343106E-2</v>
      </c>
      <c r="J57" s="47"/>
      <c r="K57" s="47">
        <f t="shared" si="14"/>
        <v>2.9805678676440781E-3</v>
      </c>
      <c r="L57" s="47">
        <f t="shared" si="7"/>
        <v>1.8310781766949988E-3</v>
      </c>
      <c r="M57" s="47">
        <f t="shared" si="9"/>
        <v>2.5038378331253691E-3</v>
      </c>
      <c r="N57" s="47"/>
      <c r="O57" s="48">
        <v>885</v>
      </c>
      <c r="P57" s="48">
        <v>863</v>
      </c>
      <c r="Q57" s="48">
        <v>946</v>
      </c>
      <c r="R57" s="48">
        <v>1183</v>
      </c>
      <c r="S57" s="48">
        <v>1142</v>
      </c>
      <c r="T57" s="48">
        <v>1137</v>
      </c>
      <c r="U57" s="48">
        <v>1116</v>
      </c>
      <c r="V57" s="48"/>
      <c r="W57" s="48">
        <v>438352</v>
      </c>
      <c r="X57" s="48">
        <v>442002</v>
      </c>
      <c r="Y57" s="48">
        <v>443536</v>
      </c>
      <c r="Z57" s="48">
        <v>444854</v>
      </c>
      <c r="AA57" s="48">
        <v>446202</v>
      </c>
      <c r="AB57" s="48">
        <v>446511</v>
      </c>
      <c r="AC57" s="48">
        <v>448626</v>
      </c>
      <c r="AD57" s="48"/>
      <c r="AE57" s="48">
        <v>2760</v>
      </c>
      <c r="AF57" s="48">
        <v>2750</v>
      </c>
      <c r="AG57" s="48"/>
      <c r="AH57" s="48">
        <f t="shared" si="22"/>
        <v>2018.9254297915829</v>
      </c>
      <c r="AI57" s="48">
        <f t="shared" si="22"/>
        <v>1952.4798530323392</v>
      </c>
      <c r="AJ57" s="48">
        <f t="shared" si="22"/>
        <v>2132.8595649507592</v>
      </c>
      <c r="AK57" s="48">
        <f t="shared" si="22"/>
        <v>2659.2994555517089</v>
      </c>
      <c r="AL57" s="48">
        <f t="shared" si="22"/>
        <v>2559.3789359975976</v>
      </c>
      <c r="AM57" s="48">
        <f t="shared" si="22"/>
        <v>2546.4098308888247</v>
      </c>
      <c r="AN57" s="48">
        <f t="shared" si="22"/>
        <v>2487.5954581321635</v>
      </c>
      <c r="AO57" s="48">
        <f t="shared" si="10"/>
        <v>2555.1570012642392</v>
      </c>
      <c r="AP57" s="48"/>
      <c r="AQ57" s="249"/>
      <c r="AR57" s="246" t="s">
        <v>234</v>
      </c>
      <c r="AS57" s="245">
        <v>65130</v>
      </c>
      <c r="AT57" s="245">
        <v>65450</v>
      </c>
      <c r="AU57" s="245">
        <v>71050</v>
      </c>
      <c r="AV57" s="245">
        <v>73090</v>
      </c>
      <c r="AW57" s="245">
        <v>77200</v>
      </c>
      <c r="AX57" s="245">
        <v>78680</v>
      </c>
      <c r="AY57" s="245">
        <f t="shared" si="11"/>
        <v>81711.090371396902</v>
      </c>
      <c r="BA57" s="46">
        <f t="shared" si="12"/>
        <v>3.8524280266864608E-2</v>
      </c>
      <c r="BC57" s="245"/>
      <c r="BD57" s="245"/>
    </row>
    <row r="58" spans="1:57" x14ac:dyDescent="0.25">
      <c r="B58" s="85"/>
      <c r="C58" s="85"/>
      <c r="D58" s="85"/>
      <c r="E58" s="85"/>
      <c r="F58" s="85"/>
      <c r="G58" s="85"/>
      <c r="H58" s="85"/>
      <c r="I58" s="85"/>
      <c r="J58" s="85"/>
      <c r="K58" s="85"/>
      <c r="L58" s="85"/>
      <c r="M58" s="85"/>
      <c r="N58" s="85"/>
      <c r="AO58" s="48"/>
      <c r="AP58" s="48"/>
    </row>
    <row r="59" spans="1:57" x14ac:dyDescent="0.25">
      <c r="L59" s="231"/>
      <c r="M59" s="231"/>
      <c r="AN59" s="46"/>
      <c r="AO59" s="46"/>
      <c r="AP59" s="48"/>
    </row>
    <row r="60" spans="1:57" x14ac:dyDescent="0.25">
      <c r="A60" t="s">
        <v>400</v>
      </c>
      <c r="B60" s="28" t="s">
        <v>401</v>
      </c>
      <c r="L60" s="231"/>
      <c r="M60" s="231"/>
      <c r="AN60" s="230"/>
      <c r="AO60" s="48"/>
      <c r="AP60" s="48"/>
    </row>
    <row r="61" spans="1:57" x14ac:dyDescent="0.25">
      <c r="B61" t="s">
        <v>402</v>
      </c>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row>
    <row r="62" spans="1:57" x14ac:dyDescent="0.25">
      <c r="AO62" s="48"/>
      <c r="AP62" s="48"/>
    </row>
    <row r="63" spans="1:57" x14ac:dyDescent="0.25">
      <c r="A63" t="s">
        <v>205</v>
      </c>
      <c r="B63" t="s">
        <v>403</v>
      </c>
      <c r="AO63" s="48"/>
      <c r="AP63" s="48"/>
    </row>
    <row r="64" spans="1:57" x14ac:dyDescent="0.25">
      <c r="B64" t="s">
        <v>404</v>
      </c>
      <c r="AO64" s="48"/>
      <c r="AP64" s="48"/>
    </row>
    <row r="65" spans="15:42" x14ac:dyDescent="0.25">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row>
    <row r="66" spans="15:42" x14ac:dyDescent="0.25">
      <c r="AO66" s="48"/>
      <c r="AP66" s="48"/>
    </row>
    <row r="67" spans="15:42" x14ac:dyDescent="0.25">
      <c r="AO67" s="48"/>
      <c r="AP67" s="48"/>
    </row>
  </sheetData>
  <mergeCells count="7">
    <mergeCell ref="B4:I4"/>
    <mergeCell ref="AR4:BA4"/>
    <mergeCell ref="AH4:AO4"/>
    <mergeCell ref="AE4:AF4"/>
    <mergeCell ref="W4:AC4"/>
    <mergeCell ref="O4:U4"/>
    <mergeCell ref="K4:M4"/>
  </mergeCells>
  <conditionalFormatting sqref="N6:N57">
    <cfRule type="colorScale" priority="2">
      <colorScale>
        <cfvo type="min"/>
        <cfvo type="percentile" val="50"/>
        <cfvo type="max"/>
        <color rgb="FF63BE7B"/>
        <color rgb="FFFFEB84"/>
        <color rgb="FFF8696B"/>
      </colorScale>
    </cfRule>
    <cfRule type="colorScale" priority="3">
      <colorScale>
        <cfvo type="min"/>
        <cfvo type="percentile" val="50"/>
        <cfvo type="max"/>
        <color rgb="FF63BE7B"/>
        <color rgb="FFFFEB84"/>
        <color rgb="FFF8696B"/>
      </colorScale>
    </cfRule>
  </conditionalFormatting>
  <conditionalFormatting sqref="AQ6:AQ57">
    <cfRule type="colorScale" priority="1">
      <colorScale>
        <cfvo type="min"/>
        <cfvo type="percentile" val="50"/>
        <cfvo type="max"/>
        <color rgb="FF63BE7B"/>
        <color rgb="FFFFEB84"/>
        <color rgb="FFF8696B"/>
      </colorScale>
    </cfRule>
  </conditionalFormatting>
  <hyperlinks>
    <hyperlink ref="AR6" r:id="rId1" display="https://fred.stlouisfed.org/series/MEHOINUSA646N" xr:uid="{6DE0C906-BC4F-4968-A61A-615E81CB52EA}"/>
    <hyperlink ref="AR7" r:id="rId2" display="https://fred.stlouisfed.org/series/MEHOINUSALA646N" xr:uid="{07A2DCA6-AB97-4205-874D-1D87471A326A}"/>
    <hyperlink ref="AR8" r:id="rId3" display="https://fred.stlouisfed.org/series/MEHOINUSAKA646N" xr:uid="{64EC9725-F8BA-4A07-AFAE-7D5B72419D05}"/>
    <hyperlink ref="AR9" r:id="rId4" display="https://fred.stlouisfed.org/series/MEHOINUSAZA646N" xr:uid="{2CF67CDD-33BE-4F88-A2F6-764CC59A4E97}"/>
    <hyperlink ref="AR10" r:id="rId5" display="https://fred.stlouisfed.org/series/MEHOINUSARA646N" xr:uid="{F51CBA3A-B836-4B7B-A204-B153A4D5B23A}"/>
    <hyperlink ref="AR11" r:id="rId6" display="https://fred.stlouisfed.org/series/MEHOINUSCAA646N" xr:uid="{93817A1B-671B-4E72-9F0A-AF5CEBA8AAF2}"/>
    <hyperlink ref="AR12" r:id="rId7" display="https://fred.stlouisfed.org/series/MEHOINUSCOA646N" xr:uid="{AEEF8A27-C9A2-427D-AD42-F309A8DE5D2C}"/>
    <hyperlink ref="AR13" r:id="rId8" display="https://fred.stlouisfed.org/series/MEHOINUSCTA646N" xr:uid="{0AC90DB4-2928-4BEC-9279-D690291FB42C}"/>
    <hyperlink ref="AR14" r:id="rId9" display="https://fred.stlouisfed.org/series/MEHOINUSDEA646N" xr:uid="{069EADEC-4141-44A7-B8CC-69571C279A7D}"/>
    <hyperlink ref="AR15" r:id="rId10" display="https://fred.stlouisfed.org/series/MEHOINUSDCA646N" xr:uid="{31CD34B4-9E04-44E4-8700-38AE278CC9A3}"/>
    <hyperlink ref="AR16" r:id="rId11" display="https://fred.stlouisfed.org/series/MEHOINUSFLA646N" xr:uid="{4AE95180-392F-49C0-9EEC-384614704A16}"/>
    <hyperlink ref="AR17" r:id="rId12" display="https://fred.stlouisfed.org/series/MEHOINUSGAA646N" xr:uid="{1889B447-1980-4E33-A82F-603CB1902D74}"/>
    <hyperlink ref="AR18" r:id="rId13" display="https://fred.stlouisfed.org/series/MEHOINUSHIA646N" xr:uid="{3FA1CAA0-DA05-4E9D-BE6D-78956ED8D918}"/>
    <hyperlink ref="AR19" r:id="rId14" display="https://fred.stlouisfed.org/series/MEHOINUSIDA646N" xr:uid="{5F17D5C5-09E0-426C-AF08-1DA4D72D75B3}"/>
    <hyperlink ref="AR20" r:id="rId15" display="https://fred.stlouisfed.org/series/MEHOINUSILA646N" xr:uid="{3A2AB10B-F687-4C52-8CF1-4E96239EB366}"/>
    <hyperlink ref="AR21" r:id="rId16" display="https://fred.stlouisfed.org/series/MEHOINUSINA646N" xr:uid="{4F26BDD8-4A4F-463E-BB23-2156CAC85F1C}"/>
    <hyperlink ref="AR22" r:id="rId17" display="https://fred.stlouisfed.org/series/MEHOINUSIAA646N" xr:uid="{47999482-2561-4E68-807F-69540F54106E}"/>
    <hyperlink ref="AR23" r:id="rId18" display="https://fred.stlouisfed.org/series/MEHOINUSKSA646N" xr:uid="{D3403561-FF30-473E-BCDE-F0E20CBC41E9}"/>
    <hyperlink ref="AR24" r:id="rId19" display="https://fred.stlouisfed.org/series/MEHOINUSKYA646N" xr:uid="{C23537A6-E86F-4C8F-A977-03C46D304CE9}"/>
    <hyperlink ref="AR25" r:id="rId20" display="https://fred.stlouisfed.org/series/MEHOINUSLAA646N" xr:uid="{2E91B87B-F47D-4BBA-A658-AA6AD44F4FF3}"/>
    <hyperlink ref="AR26" r:id="rId21" display="https://fred.stlouisfed.org/series/MEHOINUSMEA646N" xr:uid="{4EB5B2E7-E857-4D8E-A16D-F34972C06095}"/>
    <hyperlink ref="AR27" r:id="rId22" display="https://fred.stlouisfed.org/series/MEHOINUSMDA646N" xr:uid="{63EFF236-2727-4DBB-97E0-4178DFAF624A}"/>
    <hyperlink ref="AR28" r:id="rId23" display="https://fred.stlouisfed.org/series/MEHOINUSMAA646N" xr:uid="{CC5564D1-5E1B-442F-B972-63E5CDD26E36}"/>
    <hyperlink ref="AR29" r:id="rId24" display="https://fred.stlouisfed.org/series/MEHOINUSMIA646N" xr:uid="{4CB01CEA-A4CB-43FC-A98C-3FEED73C6630}"/>
    <hyperlink ref="AR30" r:id="rId25" display="https://fred.stlouisfed.org/series/MEHOINUSMNA646N" xr:uid="{643ACFB5-FDD3-41A0-A653-7026942D7741}"/>
    <hyperlink ref="AR31" r:id="rId26" display="https://fred.stlouisfed.org/series/MEHOINUSMSA646N" xr:uid="{3714385A-FFE9-4303-BC48-4F612F085435}"/>
    <hyperlink ref="AR32" r:id="rId27" display="https://fred.stlouisfed.org/series/MEHOINUSMOA646N" xr:uid="{D37CCD3B-A6D4-4285-A80F-1FC52295259E}"/>
    <hyperlink ref="AR33" r:id="rId28" display="https://fred.stlouisfed.org/series/MEHOINUSMTA646N" xr:uid="{2803BA72-13CF-417B-A44B-3FE15806BC8F}"/>
    <hyperlink ref="AR34" r:id="rId29" display="https://fred.stlouisfed.org/series/MEHOINUSNEA646N" xr:uid="{2669B0E9-9B58-4EFF-AEC1-4B6E9CE35158}"/>
    <hyperlink ref="AR35" r:id="rId30" display="https://fred.stlouisfed.org/series/MEHOINUSNVA646N" xr:uid="{A245B9E2-4B81-4D76-95AD-9E015D3E10A1}"/>
    <hyperlink ref="AR36" r:id="rId31" display="https://fred.stlouisfed.org/series/MEHOINUSNHA646N" xr:uid="{FB0845AC-9DEC-48A3-940F-9D2D4E141169}"/>
    <hyperlink ref="AR37" r:id="rId32" display="https://fred.stlouisfed.org/series/MEHOINUSNJA646N" xr:uid="{6E052C48-6EEB-4773-9C53-5B7D656EBBAA}"/>
    <hyperlink ref="AR38" r:id="rId33" display="https://fred.stlouisfed.org/series/MEHOINUSNMA646N" xr:uid="{318248E4-18BC-4360-B50C-9B24894576EB}"/>
    <hyperlink ref="AR39" r:id="rId34" display="https://fred.stlouisfed.org/series/MEHOINUSNYA646N" xr:uid="{5F909A2C-1FF4-4EA3-81CF-38302194DC21}"/>
    <hyperlink ref="AR40" r:id="rId35" display="https://fred.stlouisfed.org/series/MEHOINUSNCA646N" xr:uid="{55E56495-5105-4FE9-A31E-6F82EFF07EF3}"/>
    <hyperlink ref="AR41" r:id="rId36" display="https://fred.stlouisfed.org/series/MEHOINUSNDA646N" xr:uid="{C3A6950A-446D-4DD6-9CA2-35DC390F52F4}"/>
    <hyperlink ref="AR42" r:id="rId37" display="https://fred.stlouisfed.org/series/MEHOINUSOHA646N" xr:uid="{D81F961A-1E7D-4A9C-B2AC-66E183B4B4CE}"/>
    <hyperlink ref="AR43" r:id="rId38" display="https://fred.stlouisfed.org/series/MEHOINUSOKA646N" xr:uid="{69896510-337C-4BA4-B5EF-0FFE87A1D40F}"/>
    <hyperlink ref="AR44" r:id="rId39" display="https://fred.stlouisfed.org/series/MEHOINUSORA646N" xr:uid="{27FDD20C-BB8B-4D2C-9A8F-F70DDC972DE5}"/>
    <hyperlink ref="AR45" r:id="rId40" display="https://fred.stlouisfed.org/series/MEHOINUSPAA646N" xr:uid="{D5511F10-B5F1-4A14-ACA2-9B86307DE690}"/>
    <hyperlink ref="AR46" r:id="rId41" display="https://fred.stlouisfed.org/series/MEHOINUSRIA646N" xr:uid="{87AC4B1D-606B-480B-A28B-057ACDFD06C8}"/>
    <hyperlink ref="AR47" r:id="rId42" display="https://fred.stlouisfed.org/series/MEHOINUSSCA646N" xr:uid="{27900A1B-9320-4FAA-B2F0-C7E199C7E203}"/>
    <hyperlink ref="AR48" r:id="rId43" display="https://fred.stlouisfed.org/series/MEHOINUSSDA646N" xr:uid="{E1F7687C-115D-4BB1-9F1E-10BDE41D7B2D}"/>
    <hyperlink ref="AR49" r:id="rId44" display="https://fred.stlouisfed.org/series/MEHOINUSTNA646N" xr:uid="{AAF0376F-82D1-479E-8C7E-FF473B816182}"/>
    <hyperlink ref="AR50" r:id="rId45" display="https://fred.stlouisfed.org/series/MEHOINUSTXA646N" xr:uid="{44C5572A-948B-4B29-870C-4083FD2789DD}"/>
    <hyperlink ref="AR51" r:id="rId46" display="https://fred.stlouisfed.org/series/MEHOINUSUTA646N" xr:uid="{2980E5C0-2F14-41C6-9772-594D073EA6AE}"/>
    <hyperlink ref="AR52" r:id="rId47" display="https://fred.stlouisfed.org/series/MEHOINUSVTA646N" xr:uid="{997F6F7A-42E1-490F-B969-CD9B89453112}"/>
    <hyperlink ref="AR53" r:id="rId48" display="https://fred.stlouisfed.org/series/MEHOINUSVAA646N" xr:uid="{4D372329-2154-4EF3-97FA-3F4C5F9E30D8}"/>
    <hyperlink ref="AR54" r:id="rId49" display="https://fred.stlouisfed.org/series/MEHOINUSWAA646N" xr:uid="{57B4114F-DC12-4520-9705-3CE15CBDB364}"/>
    <hyperlink ref="AR55" r:id="rId50" display="https://fred.stlouisfed.org/series/MEHOINUSWVA646N" xr:uid="{6014B4C9-A5FE-4250-AC0F-8C07CF90BDD2}"/>
    <hyperlink ref="AR56" r:id="rId51" display="https://fred.stlouisfed.org/series/MEHOINUSWIA646N" xr:uid="{8A80892D-9A96-47E4-B4A7-789046C8DF9B}"/>
    <hyperlink ref="AR57" r:id="rId52" display="https://fred.stlouisfed.org/series/MEHOINUSWYA646N" xr:uid="{FDF31D79-6264-4148-9BFE-3E357B4BDB92}"/>
  </hyperlinks>
  <pageMargins left="0.7" right="0.7" top="0.75" bottom="0.75" header="0.3" footer="0.3"/>
  <pageSetup orientation="portrait" horizontalDpi="300" verticalDpi="300" r:id="rId5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413B1-8199-42BB-9809-304152D7F42F}">
  <sheetPr>
    <tabColor theme="5" tint="0.59999389629810485"/>
  </sheetPr>
  <dimension ref="A1:F27"/>
  <sheetViews>
    <sheetView workbookViewId="0">
      <selection activeCell="N13" sqref="N13"/>
    </sheetView>
  </sheetViews>
  <sheetFormatPr defaultRowHeight="15" x14ac:dyDescent="0.25"/>
  <cols>
    <col min="1" max="1" width="11.5703125" style="25" customWidth="1"/>
    <col min="2" max="3" width="12.42578125" style="25" customWidth="1"/>
    <col min="4" max="5" width="12.42578125" customWidth="1"/>
  </cols>
  <sheetData>
    <row r="1" spans="1:6" x14ac:dyDescent="0.25">
      <c r="A1" s="59" t="s">
        <v>51</v>
      </c>
    </row>
    <row r="2" spans="1:6" x14ac:dyDescent="0.25">
      <c r="A2" s="28" t="s">
        <v>52</v>
      </c>
    </row>
    <row r="4" spans="1:6" x14ac:dyDescent="0.25">
      <c r="A4" s="29" t="s">
        <v>158</v>
      </c>
      <c r="B4" s="43" t="s">
        <v>405</v>
      </c>
      <c r="C4" s="43" t="s">
        <v>406</v>
      </c>
      <c r="D4" s="43" t="s">
        <v>407</v>
      </c>
      <c r="E4" s="43" t="s">
        <v>408</v>
      </c>
    </row>
    <row r="5" spans="1:6" x14ac:dyDescent="0.25">
      <c r="A5" s="30">
        <v>2010</v>
      </c>
      <c r="B5" s="279">
        <v>6.3200000000000006E-2</v>
      </c>
      <c r="C5" s="279">
        <v>2.7199999999999998E-2</v>
      </c>
      <c r="D5" s="279">
        <v>1.7600000000000001E-2</v>
      </c>
      <c r="E5" s="279">
        <v>1.09E-2</v>
      </c>
    </row>
    <row r="6" spans="1:6" x14ac:dyDescent="0.25">
      <c r="A6" s="30">
        <v>2011</v>
      </c>
      <c r="B6" s="279">
        <v>6.4100000000000004E-2</v>
      </c>
      <c r="C6" s="279">
        <v>2.76E-2</v>
      </c>
      <c r="D6" s="279">
        <v>1.77E-2</v>
      </c>
      <c r="E6" s="279">
        <v>1.0800000000000001E-2</v>
      </c>
    </row>
    <row r="7" spans="1:6" s="25" customFormat="1" x14ac:dyDescent="0.25">
      <c r="A7" s="30">
        <v>2012</v>
      </c>
      <c r="B7" s="279">
        <v>6.0600000000000001E-2</v>
      </c>
      <c r="C7" s="279">
        <v>2.5999999999999999E-2</v>
      </c>
      <c r="D7" s="279">
        <v>1.7399999999999999E-2</v>
      </c>
      <c r="E7" s="279">
        <v>1.0500000000000001E-2</v>
      </c>
      <c r="F7"/>
    </row>
    <row r="8" spans="1:6" s="25" customFormat="1" x14ac:dyDescent="0.25">
      <c r="A8" s="30">
        <v>2013</v>
      </c>
      <c r="B8" s="279">
        <v>6.2300000000000001E-2</v>
      </c>
      <c r="C8" s="279">
        <v>2.5600000000000001E-2</v>
      </c>
      <c r="D8" s="279">
        <v>1.67E-2</v>
      </c>
      <c r="E8" s="279">
        <v>1.0500000000000001E-2</v>
      </c>
      <c r="F8"/>
    </row>
    <row r="9" spans="1:6" x14ac:dyDescent="0.25">
      <c r="A9" s="30">
        <v>2014</v>
      </c>
      <c r="B9" s="279">
        <v>6.6500000000000004E-2</v>
      </c>
      <c r="C9" s="279">
        <v>2.6800000000000001E-2</v>
      </c>
      <c r="D9" s="279">
        <v>1.7399999999999999E-2</v>
      </c>
      <c r="E9" s="279">
        <v>1.01E-2</v>
      </c>
    </row>
    <row r="10" spans="1:6" x14ac:dyDescent="0.25">
      <c r="A10" s="30">
        <v>2015</v>
      </c>
      <c r="B10" s="279">
        <v>6.4600000000000005E-2</v>
      </c>
      <c r="C10" s="279">
        <v>2.6499999999999999E-2</v>
      </c>
      <c r="D10" s="279">
        <v>1.67E-2</v>
      </c>
      <c r="E10" s="279">
        <v>1.03E-2</v>
      </c>
    </row>
    <row r="11" spans="1:6" x14ac:dyDescent="0.25">
      <c r="A11" s="30">
        <v>2016</v>
      </c>
      <c r="B11" s="279">
        <v>6.3600000000000004E-2</v>
      </c>
      <c r="C11" s="279">
        <v>2.5999999999999999E-2</v>
      </c>
      <c r="D11" s="279">
        <v>1.6500000000000001E-2</v>
      </c>
      <c r="E11" s="279">
        <v>9.7999999999999997E-3</v>
      </c>
    </row>
    <row r="12" spans="1:6" x14ac:dyDescent="0.25">
      <c r="A12" s="30">
        <v>2017</v>
      </c>
      <c r="B12" s="279">
        <v>5.9200000000000003E-2</v>
      </c>
      <c r="C12" s="279">
        <v>2.47E-2</v>
      </c>
      <c r="D12" s="279">
        <v>1.5599999999999999E-2</v>
      </c>
      <c r="E12" s="279">
        <v>9.4000000000000004E-3</v>
      </c>
    </row>
    <row r="13" spans="1:6" x14ac:dyDescent="0.25">
      <c r="A13" s="30">
        <v>2018</v>
      </c>
      <c r="B13" s="279">
        <v>6.2E-2</v>
      </c>
      <c r="C13" s="279">
        <v>2.52E-2</v>
      </c>
      <c r="D13" s="279">
        <v>1.5800000000000002E-2</v>
      </c>
      <c r="E13" s="279">
        <v>9.5999999999999992E-3</v>
      </c>
    </row>
    <row r="14" spans="1:6" x14ac:dyDescent="0.25">
      <c r="A14" s="30">
        <v>2019</v>
      </c>
      <c r="B14" s="279">
        <v>5.9299999999999999E-2</v>
      </c>
      <c r="C14" s="279">
        <v>2.47E-2</v>
      </c>
      <c r="D14" s="279">
        <v>1.5599999999999999E-2</v>
      </c>
      <c r="E14" s="279">
        <v>9.1000000000000004E-3</v>
      </c>
    </row>
    <row r="15" spans="1:6" x14ac:dyDescent="0.25">
      <c r="A15" s="30">
        <v>2020</v>
      </c>
      <c r="B15" s="279">
        <v>5.8599999999999999E-2</v>
      </c>
      <c r="C15" s="279">
        <v>2.4299999999999999E-2</v>
      </c>
      <c r="D15" s="279">
        <v>1.55E-2</v>
      </c>
      <c r="E15" s="279">
        <v>8.9999999999999993E-3</v>
      </c>
    </row>
    <row r="16" spans="1:6" x14ac:dyDescent="0.25">
      <c r="A16" s="30">
        <v>2021</v>
      </c>
      <c r="B16" s="279">
        <v>5.8700000000000002E-2</v>
      </c>
      <c r="C16" s="279">
        <v>2.3400000000000001E-2</v>
      </c>
      <c r="D16" s="279">
        <v>1.55E-2</v>
      </c>
      <c r="E16" s="279">
        <v>8.6999999999999994E-3</v>
      </c>
    </row>
    <row r="17" spans="1:5" x14ac:dyDescent="0.25">
      <c r="A17" s="30">
        <v>2022</v>
      </c>
      <c r="B17" s="279">
        <v>5.8000000000000003E-2</v>
      </c>
      <c r="C17" s="279">
        <v>2.3900000000000001E-2</v>
      </c>
      <c r="D17" s="279">
        <v>1.52E-2</v>
      </c>
      <c r="E17" s="279">
        <v>8.9999999999999993E-3</v>
      </c>
    </row>
    <row r="18" spans="1:5" x14ac:dyDescent="0.25">
      <c r="A18" s="30">
        <v>2023</v>
      </c>
      <c r="B18" s="279">
        <v>5.8099999999999999E-2</v>
      </c>
      <c r="C18" s="279">
        <v>2.3699999999999999E-2</v>
      </c>
      <c r="D18" s="279">
        <v>1.4999999999999999E-2</v>
      </c>
      <c r="E18" s="279">
        <v>8.8999999999999999E-3</v>
      </c>
    </row>
    <row r="19" spans="1:5" x14ac:dyDescent="0.25">
      <c r="A19" s="30">
        <v>2024</v>
      </c>
      <c r="B19" s="279">
        <v>5.67E-2</v>
      </c>
      <c r="C19" s="279">
        <v>2.4E-2</v>
      </c>
      <c r="D19" s="279">
        <v>1.5299999999999999E-2</v>
      </c>
      <c r="E19" s="279">
        <v>8.9999999999999993E-3</v>
      </c>
    </row>
    <row r="20" spans="1:5" x14ac:dyDescent="0.25">
      <c r="A20" s="276" t="s">
        <v>409</v>
      </c>
      <c r="B20" s="279">
        <v>5.8999999999999997E-2</v>
      </c>
      <c r="C20" s="279">
        <v>2.52E-2</v>
      </c>
      <c r="D20" s="279">
        <v>1.6400000000000001E-2</v>
      </c>
      <c r="E20" s="279">
        <v>9.4000000000000004E-3</v>
      </c>
    </row>
    <row r="22" spans="1:5" x14ac:dyDescent="0.25">
      <c r="A22" t="s">
        <v>197</v>
      </c>
      <c r="B22" s="28" t="s">
        <v>410</v>
      </c>
    </row>
    <row r="23" spans="1:5" x14ac:dyDescent="0.25">
      <c r="A23"/>
    </row>
    <row r="24" spans="1:5" x14ac:dyDescent="0.25">
      <c r="A24" t="s">
        <v>205</v>
      </c>
      <c r="B24" s="28" t="s">
        <v>411</v>
      </c>
    </row>
    <row r="25" spans="1:5" x14ac:dyDescent="0.25">
      <c r="B25" s="28" t="s">
        <v>412</v>
      </c>
    </row>
    <row r="26" spans="1:5" x14ac:dyDescent="0.25">
      <c r="B26" s="28" t="s">
        <v>413</v>
      </c>
    </row>
    <row r="27" spans="1:5" x14ac:dyDescent="0.25">
      <c r="B27" s="28" t="s">
        <v>414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02BAE-3DE2-4158-916D-51ABC59B468F}">
  <sheetPr>
    <tabColor theme="5" tint="0.59999389629810485"/>
  </sheetPr>
  <dimension ref="A1:F21"/>
  <sheetViews>
    <sheetView workbookViewId="0">
      <selection activeCell="B4" sqref="B4"/>
    </sheetView>
  </sheetViews>
  <sheetFormatPr defaultRowHeight="15" x14ac:dyDescent="0.25"/>
  <cols>
    <col min="1" max="1" width="19.42578125" style="25" customWidth="1"/>
    <col min="2" max="3" width="30.140625" style="25" customWidth="1"/>
    <col min="4" max="4" width="27" customWidth="1"/>
    <col min="5" max="5" width="21.85546875" customWidth="1"/>
  </cols>
  <sheetData>
    <row r="1" spans="1:6" x14ac:dyDescent="0.25">
      <c r="A1" s="59" t="s">
        <v>53</v>
      </c>
    </row>
    <row r="2" spans="1:6" x14ac:dyDescent="0.25">
      <c r="A2" s="28" t="s">
        <v>54</v>
      </c>
    </row>
    <row r="4" spans="1:6" ht="62.25" customHeight="1" x14ac:dyDescent="0.25">
      <c r="A4" s="116" t="s">
        <v>415</v>
      </c>
      <c r="B4" s="43" t="s">
        <v>416</v>
      </c>
      <c r="C4" s="43" t="s">
        <v>417</v>
      </c>
      <c r="E4" s="54"/>
    </row>
    <row r="5" spans="1:6" x14ac:dyDescent="0.25">
      <c r="A5" s="28" t="s">
        <v>167</v>
      </c>
      <c r="B5" s="278">
        <v>-0.16520000000000001</v>
      </c>
      <c r="C5" s="280">
        <v>9.3200000000000005E-2</v>
      </c>
    </row>
    <row r="6" spans="1:6" x14ac:dyDescent="0.25">
      <c r="A6" s="28" t="s">
        <v>174</v>
      </c>
      <c r="B6" s="278">
        <v>0.19409999999999999</v>
      </c>
      <c r="C6" s="280">
        <v>0.14360000000000001</v>
      </c>
    </row>
    <row r="7" spans="1:6" s="25" customFormat="1" x14ac:dyDescent="0.25">
      <c r="A7" s="28" t="s">
        <v>178</v>
      </c>
      <c r="B7" s="278">
        <v>4.0099999999999997E-2</v>
      </c>
      <c r="C7" s="280">
        <v>-3.2099999999999997E-2</v>
      </c>
      <c r="F7"/>
    </row>
    <row r="8" spans="1:6" s="25" customFormat="1" x14ac:dyDescent="0.25">
      <c r="A8" s="28" t="s">
        <v>188</v>
      </c>
      <c r="B8" s="278">
        <v>-8.9800000000000005E-2</v>
      </c>
      <c r="C8" s="280">
        <v>-5.2499999999999998E-2</v>
      </c>
      <c r="F8"/>
    </row>
    <row r="9" spans="1:6" x14ac:dyDescent="0.25">
      <c r="A9" s="28" t="s">
        <v>204</v>
      </c>
      <c r="B9" s="278">
        <v>-0.15740000000000001</v>
      </c>
      <c r="C9" s="280">
        <v>-8.5599999999999996E-2</v>
      </c>
    </row>
    <row r="10" spans="1:6" x14ac:dyDescent="0.25">
      <c r="A10" s="28" t="s">
        <v>216</v>
      </c>
      <c r="B10" s="278">
        <v>-2.0199999999999999E-2</v>
      </c>
      <c r="C10" s="280">
        <v>2.81E-2</v>
      </c>
    </row>
    <row r="11" spans="1:6" x14ac:dyDescent="0.25">
      <c r="A11" s="28" t="s">
        <v>221</v>
      </c>
      <c r="B11" s="278">
        <v>6.3700000000000007E-2</v>
      </c>
      <c r="C11" s="280">
        <v>5.0099999999999999E-2</v>
      </c>
    </row>
    <row r="12" spans="1:6" x14ac:dyDescent="0.25">
      <c r="A12" s="28" t="s">
        <v>226</v>
      </c>
      <c r="B12" s="278">
        <v>-0.1454</v>
      </c>
      <c r="C12" s="280">
        <v>-4.6800000000000001E-2</v>
      </c>
    </row>
    <row r="13" spans="1:6" x14ac:dyDescent="0.25">
      <c r="A13" s="28" t="s">
        <v>418</v>
      </c>
      <c r="B13" s="278">
        <v>0.13600000000000001</v>
      </c>
      <c r="C13" s="280">
        <v>8.3400000000000002E-2</v>
      </c>
    </row>
    <row r="14" spans="1:6" x14ac:dyDescent="0.25">
      <c r="A14" s="30"/>
      <c r="B14" s="80"/>
      <c r="C14" s="80"/>
      <c r="D14" s="46"/>
      <c r="E14" s="46"/>
    </row>
    <row r="16" spans="1:6" x14ac:dyDescent="0.25">
      <c r="A16" t="s">
        <v>197</v>
      </c>
      <c r="B16" s="28" t="s">
        <v>410</v>
      </c>
    </row>
    <row r="17" spans="1:2" x14ac:dyDescent="0.25">
      <c r="A17"/>
    </row>
    <row r="18" spans="1:2" x14ac:dyDescent="0.25">
      <c r="A18" t="s">
        <v>205</v>
      </c>
      <c r="B18" s="28" t="s">
        <v>419</v>
      </c>
    </row>
    <row r="19" spans="1:2" x14ac:dyDescent="0.25">
      <c r="B19" s="28" t="s">
        <v>412</v>
      </c>
    </row>
    <row r="20" spans="1:2" x14ac:dyDescent="0.25">
      <c r="B20" s="28" t="s">
        <v>413</v>
      </c>
    </row>
    <row r="21" spans="1:2" x14ac:dyDescent="0.25">
      <c r="B21" s="28" t="s">
        <v>420</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99525-9A3B-467B-B140-9EEA63004DA7}">
  <sheetPr>
    <tabColor theme="5" tint="0.59999389629810485"/>
  </sheetPr>
  <dimension ref="A1:F19"/>
  <sheetViews>
    <sheetView zoomScaleNormal="100" workbookViewId="0">
      <selection activeCell="F5" sqref="F5"/>
    </sheetView>
  </sheetViews>
  <sheetFormatPr defaultRowHeight="15" x14ac:dyDescent="0.25"/>
  <cols>
    <col min="1" max="1" width="36.7109375" customWidth="1"/>
    <col min="2" max="2" width="26.5703125" customWidth="1"/>
    <col min="3" max="3" width="31.140625" customWidth="1"/>
    <col min="4" max="4" width="21.5703125" customWidth="1"/>
    <col min="5" max="5" width="10.7109375" customWidth="1"/>
    <col min="6" max="6" width="14.28515625" customWidth="1"/>
    <col min="7" max="7" width="22.140625" customWidth="1"/>
  </cols>
  <sheetData>
    <row r="1" spans="1:6" x14ac:dyDescent="0.25">
      <c r="A1" s="24" t="s">
        <v>55</v>
      </c>
    </row>
    <row r="2" spans="1:6" x14ac:dyDescent="0.25">
      <c r="A2" t="s">
        <v>56</v>
      </c>
    </row>
    <row r="4" spans="1:6" x14ac:dyDescent="0.25">
      <c r="B4" s="299" t="s">
        <v>421</v>
      </c>
      <c r="C4" s="299"/>
      <c r="D4" s="299"/>
    </row>
    <row r="5" spans="1:6" ht="30" customHeight="1" x14ac:dyDescent="0.25">
      <c r="A5" s="284"/>
      <c r="B5" s="283" t="s">
        <v>422</v>
      </c>
      <c r="C5" s="283" t="s">
        <v>423</v>
      </c>
      <c r="D5" s="283" t="s">
        <v>424</v>
      </c>
      <c r="E5" s="287" t="s">
        <v>425</v>
      </c>
      <c r="F5" s="287" t="s">
        <v>426</v>
      </c>
    </row>
    <row r="6" spans="1:6" x14ac:dyDescent="0.25">
      <c r="A6" s="285" t="s">
        <v>427</v>
      </c>
      <c r="B6" s="286">
        <v>8.2956476910825097E-2</v>
      </c>
      <c r="C6" s="286">
        <v>7.4306012414653205E-2</v>
      </c>
      <c r="D6" s="286">
        <v>8.5504768587002206E-2</v>
      </c>
      <c r="E6" s="289">
        <v>8470</v>
      </c>
      <c r="F6" s="288">
        <v>0.67200000000000004</v>
      </c>
    </row>
    <row r="7" spans="1:6" x14ac:dyDescent="0.25">
      <c r="A7" s="285" t="s">
        <v>428</v>
      </c>
      <c r="B7" s="286">
        <v>0.18849464632836599</v>
      </c>
      <c r="C7" s="286">
        <v>0.117715398067573</v>
      </c>
      <c r="D7" s="286">
        <v>0.166137523166215</v>
      </c>
      <c r="E7" s="289">
        <v>2577</v>
      </c>
      <c r="F7" s="288">
        <v>0.32800000000000001</v>
      </c>
    </row>
    <row r="8" spans="1:6" x14ac:dyDescent="0.25">
      <c r="A8" s="285" t="s">
        <v>429</v>
      </c>
      <c r="B8" s="286">
        <v>0.34681263173447602</v>
      </c>
      <c r="C8" s="286">
        <v>0.22159272051481399</v>
      </c>
      <c r="D8" s="286">
        <v>0.311286694854086</v>
      </c>
      <c r="E8" s="289">
        <v>704</v>
      </c>
      <c r="F8" s="288">
        <v>0.111</v>
      </c>
    </row>
    <row r="10" spans="1:6" x14ac:dyDescent="0.25">
      <c r="A10" s="28" t="s">
        <v>430</v>
      </c>
      <c r="B10" s="28" t="s">
        <v>431</v>
      </c>
    </row>
    <row r="11" spans="1:6" x14ac:dyDescent="0.25">
      <c r="A11" s="28"/>
      <c r="B11" t="s">
        <v>432</v>
      </c>
    </row>
    <row r="12" spans="1:6" x14ac:dyDescent="0.25">
      <c r="A12" s="28"/>
      <c r="B12" t="s">
        <v>433</v>
      </c>
    </row>
    <row r="13" spans="1:6" x14ac:dyDescent="0.25">
      <c r="A13" s="28"/>
      <c r="B13" t="s">
        <v>434</v>
      </c>
    </row>
    <row r="14" spans="1:6" x14ac:dyDescent="0.25">
      <c r="A14" s="28"/>
    </row>
    <row r="15" spans="1:6" x14ac:dyDescent="0.25">
      <c r="A15" s="28" t="s">
        <v>205</v>
      </c>
      <c r="B15" t="s">
        <v>435</v>
      </c>
    </row>
    <row r="16" spans="1:6" x14ac:dyDescent="0.25">
      <c r="A16" s="25"/>
      <c r="B16" s="28" t="s">
        <v>436</v>
      </c>
    </row>
    <row r="17" spans="1:2" x14ac:dyDescent="0.25">
      <c r="A17" s="25"/>
      <c r="B17" s="28" t="s">
        <v>437</v>
      </c>
    </row>
    <row r="18" spans="1:2" x14ac:dyDescent="0.25">
      <c r="A18" s="25"/>
      <c r="B18" s="28" t="s">
        <v>438</v>
      </c>
    </row>
    <row r="19" spans="1:2" x14ac:dyDescent="0.25">
      <c r="B19" s="28" t="s">
        <v>439</v>
      </c>
    </row>
  </sheetData>
  <mergeCells count="1">
    <mergeCell ref="B4:D4"/>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84855-0C21-40C5-8386-CE083C04109B}">
  <sheetPr>
    <tabColor theme="7" tint="0.59999389629810485"/>
  </sheetPr>
  <dimension ref="A1:N76"/>
  <sheetViews>
    <sheetView workbookViewId="0">
      <selection activeCell="A5" sqref="A5"/>
    </sheetView>
  </sheetViews>
  <sheetFormatPr defaultRowHeight="15" x14ac:dyDescent="0.25"/>
  <cols>
    <col min="1" max="1" width="29" style="25" customWidth="1"/>
    <col min="2" max="3" width="25.42578125" style="25" customWidth="1"/>
    <col min="4" max="4" width="10.85546875" style="25" customWidth="1"/>
    <col min="5" max="5" width="6.140625" style="25" customWidth="1"/>
    <col min="6" max="7" width="25.42578125" customWidth="1"/>
    <col min="8" max="8" width="11.5703125" customWidth="1"/>
  </cols>
  <sheetData>
    <row r="1" spans="1:14" x14ac:dyDescent="0.25">
      <c r="A1" s="59" t="s">
        <v>57</v>
      </c>
      <c r="B1" s="59"/>
    </row>
    <row r="2" spans="1:14" x14ac:dyDescent="0.25">
      <c r="A2" s="28" t="s">
        <v>58</v>
      </c>
      <c r="B2" s="28"/>
    </row>
    <row r="4" spans="1:14" ht="33.75" customHeight="1" x14ac:dyDescent="0.25">
      <c r="A4" s="43" t="s">
        <v>165</v>
      </c>
      <c r="B4" s="43" t="s">
        <v>359</v>
      </c>
      <c r="C4" s="43" t="s">
        <v>360</v>
      </c>
      <c r="D4" s="43" t="s">
        <v>440</v>
      </c>
      <c r="E4" s="43"/>
      <c r="F4" s="43" t="s">
        <v>362</v>
      </c>
      <c r="G4" s="43" t="s">
        <v>363</v>
      </c>
      <c r="H4" s="43" t="s">
        <v>441</v>
      </c>
      <c r="I4" s="54"/>
      <c r="J4" s="54"/>
      <c r="K4" s="54"/>
      <c r="L4" s="54"/>
    </row>
    <row r="5" spans="1:14" ht="16.5" customHeight="1" x14ac:dyDescent="0.25">
      <c r="A5" s="60" t="s">
        <v>167</v>
      </c>
      <c r="B5" s="44">
        <v>23.03</v>
      </c>
      <c r="C5" s="26">
        <v>24.66</v>
      </c>
      <c r="D5" s="70">
        <f>(C5-B5)/C5</f>
        <v>6.6098945660989422E-2</v>
      </c>
      <c r="E5" s="26"/>
      <c r="F5" s="61">
        <f>$B5 * VLOOKUP(2025, tblCPI[], MATCH(INDEX(tblCPI_Map[CPI Region], MATCH($A5, tblCPI_Map[Census Division and State], 0)), tblCPI[[#Headers],[West]:[National]], 0)+1, FALSE) /VLOOKUP(2024, tblCPI[], MATCH(INDEX(tblCPI_Map[CPI Region], MATCH($A5, tblCPI_Map[Census Division and State], 0)), tblCPI[[#Headers],[West]:[National]], 0)+1, FALSE)</f>
        <v>23.755622092682732</v>
      </c>
      <c r="G5" s="26">
        <f t="shared" ref="G5:G36" si="0">C5</f>
        <v>24.66</v>
      </c>
      <c r="H5" s="70">
        <f>(G5-F5)/G5</f>
        <v>3.667388107531503E-2</v>
      </c>
      <c r="J5" s="26"/>
      <c r="N5" s="26"/>
    </row>
    <row r="6" spans="1:14" x14ac:dyDescent="0.25">
      <c r="A6" s="25" t="s">
        <v>168</v>
      </c>
      <c r="B6" s="44">
        <v>24.37</v>
      </c>
      <c r="C6" s="26">
        <v>25.68</v>
      </c>
      <c r="D6" s="70">
        <f t="shared" ref="D6:D66" si="1">(C6-B6)/C6</f>
        <v>5.1012461059189981E-2</v>
      </c>
      <c r="E6" s="26"/>
      <c r="F6" s="61">
        <f>$B6 * VLOOKUP(2025, tblCPI[], MATCH(INDEX(tblCPI_Map[CPI Region], MATCH($A6, tblCPI_Map[Census Division and State], 0)), tblCPI[[#Headers],[West]:[National]], 0)+1, FALSE) /VLOOKUP(2024, tblCPI[], MATCH(INDEX(tblCPI_Map[CPI Region], MATCH($A6, tblCPI_Map[Census Division and State], 0)), tblCPI[[#Headers],[West]:[National]], 0)+1, FALSE)</f>
        <v>25.137842396816247</v>
      </c>
      <c r="G6" s="26">
        <f t="shared" si="0"/>
        <v>25.68</v>
      </c>
      <c r="H6" s="70">
        <f t="shared" ref="H6:H66" si="2">(G6-F6)/G6</f>
        <v>2.1112056198744282E-2</v>
      </c>
      <c r="J6" s="26"/>
      <c r="N6" s="26"/>
    </row>
    <row r="7" spans="1:14" x14ac:dyDescent="0.25">
      <c r="A7" s="25" t="s">
        <v>169</v>
      </c>
      <c r="B7" s="44">
        <v>19.66</v>
      </c>
      <c r="C7" s="26">
        <v>22.81</v>
      </c>
      <c r="D7" s="70">
        <f t="shared" si="1"/>
        <v>0.13809732573432698</v>
      </c>
      <c r="E7" s="26"/>
      <c r="F7" s="61">
        <f>$B7 * VLOOKUP(2025, tblCPI[], MATCH(INDEX(tblCPI_Map[CPI Region], MATCH($A7, tblCPI_Map[Census Division and State], 0)), tblCPI[[#Headers],[West]:[National]], 0)+1, FALSE) /VLOOKUP(2024, tblCPI[], MATCH(INDEX(tblCPI_Map[CPI Region], MATCH($A7, tblCPI_Map[Census Division and State], 0)), tblCPI[[#Headers],[West]:[National]], 0)+1, FALSE)</f>
        <v>20.279441178555903</v>
      </c>
      <c r="G7" s="26">
        <f t="shared" si="0"/>
        <v>22.81</v>
      </c>
      <c r="H7" s="70">
        <f t="shared" si="2"/>
        <v>0.11094076376344131</v>
      </c>
      <c r="J7" s="26"/>
      <c r="N7" s="26"/>
    </row>
    <row r="8" spans="1:14" x14ac:dyDescent="0.25">
      <c r="A8" s="25" t="s">
        <v>170</v>
      </c>
      <c r="B8" s="44">
        <v>23.94</v>
      </c>
      <c r="C8" s="26">
        <v>25.56</v>
      </c>
      <c r="D8" s="70">
        <f t="shared" si="1"/>
        <v>6.3380281690140747E-2</v>
      </c>
      <c r="E8" s="26"/>
      <c r="F8" s="61">
        <f>$B8 * VLOOKUP(2025, tblCPI[], MATCH(INDEX(tblCPI_Map[CPI Region], MATCH($A8, tblCPI_Map[Census Division and State], 0)), tblCPI[[#Headers],[West]:[National]], 0)+1, FALSE) /VLOOKUP(2024, tblCPI[], MATCH(INDEX(tblCPI_Map[CPI Region], MATCH($A8, tblCPI_Map[Census Division and State], 0)), tblCPI[[#Headers],[West]:[National]], 0)+1, FALSE)</f>
        <v>24.694294090265942</v>
      </c>
      <c r="G8" s="26">
        <f t="shared" si="0"/>
        <v>25.56</v>
      </c>
      <c r="H8" s="70">
        <f t="shared" si="2"/>
        <v>3.3869558283805057E-2</v>
      </c>
      <c r="J8" s="26"/>
      <c r="N8" s="26"/>
    </row>
    <row r="9" spans="1:14" x14ac:dyDescent="0.25">
      <c r="A9" s="25" t="s">
        <v>171</v>
      </c>
      <c r="B9" s="44">
        <v>20.6</v>
      </c>
      <c r="C9" s="26">
        <v>21.59</v>
      </c>
      <c r="D9" s="70">
        <f t="shared" si="1"/>
        <v>4.5854562297359819E-2</v>
      </c>
      <c r="E9" s="26"/>
      <c r="F9" s="61">
        <f>$B9 * VLOOKUP(2025, tblCPI[], MATCH(INDEX(tblCPI_Map[CPI Region], MATCH($A9, tblCPI_Map[Census Division and State], 0)), tblCPI[[#Headers],[West]:[National]], 0)+1, FALSE) /VLOOKUP(2024, tblCPI[], MATCH(INDEX(tblCPI_Map[CPI Region], MATCH($A9, tblCPI_Map[Census Division and State], 0)), tblCPI[[#Headers],[West]:[National]], 0)+1, FALSE)</f>
        <v>21.249058406828674</v>
      </c>
      <c r="G9" s="26">
        <f t="shared" si="0"/>
        <v>21.59</v>
      </c>
      <c r="H9" s="70">
        <f t="shared" si="2"/>
        <v>1.5791643963470412E-2</v>
      </c>
      <c r="J9" s="26"/>
      <c r="N9" s="26"/>
    </row>
    <row r="10" spans="1:14" x14ac:dyDescent="0.25">
      <c r="A10" s="25" t="s">
        <v>172</v>
      </c>
      <c r="B10" s="44">
        <v>24.15</v>
      </c>
      <c r="C10" s="26">
        <v>25.86</v>
      </c>
      <c r="D10" s="70">
        <f t="shared" si="1"/>
        <v>6.6125290023201888E-2</v>
      </c>
      <c r="E10" s="26"/>
      <c r="F10" s="61">
        <f>$B10 * VLOOKUP(2025, tblCPI[], MATCH(INDEX(tblCPI_Map[CPI Region], MATCH($A10, tblCPI_Map[Census Division and State], 0)), tblCPI[[#Headers],[West]:[National]], 0)+1, FALSE) /VLOOKUP(2024, tblCPI[], MATCH(INDEX(tblCPI_Map[CPI Region], MATCH($A10, tblCPI_Map[Census Division and State], 0)), tblCPI[[#Headers],[West]:[National]], 0)+1, FALSE)</f>
        <v>24.910910705092832</v>
      </c>
      <c r="G10" s="26">
        <f t="shared" si="0"/>
        <v>25.86</v>
      </c>
      <c r="H10" s="70">
        <f t="shared" si="2"/>
        <v>3.6701055487516163E-2</v>
      </c>
      <c r="J10" s="26"/>
      <c r="N10" s="26"/>
    </row>
    <row r="11" spans="1:14" x14ac:dyDescent="0.25">
      <c r="A11" s="25" t="s">
        <v>173</v>
      </c>
      <c r="B11" s="44">
        <v>18.41</v>
      </c>
      <c r="C11" s="26">
        <v>19.39</v>
      </c>
      <c r="D11" s="70">
        <f t="shared" si="1"/>
        <v>5.0541516245487382E-2</v>
      </c>
      <c r="E11" s="26"/>
      <c r="F11" s="61">
        <f>$B11 * VLOOKUP(2025, tblCPI[], MATCH(INDEX(tblCPI_Map[CPI Region], MATCH($A11, tblCPI_Map[Census Division and State], 0)), tblCPI[[#Headers],[West]:[National]], 0)+1, FALSE) /VLOOKUP(2024, tblCPI[], MATCH(INDEX(tblCPI_Map[CPI Region], MATCH($A11, tblCPI_Map[Census Division and State], 0)), tblCPI[[#Headers],[West]:[National]], 0)+1, FALSE)</f>
        <v>18.990056566491059</v>
      </c>
      <c r="G11" s="26">
        <f t="shared" si="0"/>
        <v>19.39</v>
      </c>
      <c r="H11" s="70">
        <f t="shared" si="2"/>
        <v>2.0626273002008311E-2</v>
      </c>
      <c r="J11" s="26"/>
      <c r="N11" s="26"/>
    </row>
    <row r="12" spans="1:14" x14ac:dyDescent="0.25">
      <c r="A12" s="60" t="s">
        <v>174</v>
      </c>
      <c r="B12" s="44">
        <v>16.11</v>
      </c>
      <c r="C12" s="26">
        <v>18.07</v>
      </c>
      <c r="D12" s="70">
        <f t="shared" si="1"/>
        <v>0.10846707249584953</v>
      </c>
      <c r="E12" s="26"/>
      <c r="F12" s="61">
        <f>$B12 * VLOOKUP(2025, tblCPI[], MATCH(INDEX(tblCPI_Map[CPI Region], MATCH($A12, tblCPI_Map[Census Division and State], 0)), tblCPI[[#Headers],[West]:[National]], 0)+1, FALSE) /VLOOKUP(2024, tblCPI[], MATCH(INDEX(tblCPI_Map[CPI Region], MATCH($A12, tblCPI_Map[Census Division and State], 0)), tblCPI[[#Headers],[West]:[National]], 0)+1, FALSE)</f>
        <v>16.617588880291741</v>
      </c>
      <c r="G12" s="26">
        <f t="shared" si="0"/>
        <v>18.07</v>
      </c>
      <c r="H12" s="70">
        <f t="shared" si="2"/>
        <v>8.0376929701619207E-2</v>
      </c>
      <c r="J12" s="26"/>
      <c r="N12" s="26"/>
    </row>
    <row r="13" spans="1:14" x14ac:dyDescent="0.25">
      <c r="A13" s="25" t="s">
        <v>175</v>
      </c>
      <c r="B13" s="44">
        <v>16.29</v>
      </c>
      <c r="C13" s="26">
        <v>18.84</v>
      </c>
      <c r="D13" s="70">
        <f t="shared" si="1"/>
        <v>0.13535031847133761</v>
      </c>
      <c r="E13" s="26"/>
      <c r="F13" s="61">
        <f>$B13 * VLOOKUP(2025, tblCPI[], MATCH(INDEX(tblCPI_Map[CPI Region], MATCH($A13, tblCPI_Map[Census Division and State], 0)), tblCPI[[#Headers],[West]:[National]], 0)+1, FALSE) /VLOOKUP(2024, tblCPI[], MATCH(INDEX(tblCPI_Map[CPI Region], MATCH($A13, tblCPI_Map[Census Division and State], 0)), tblCPI[[#Headers],[West]:[National]], 0)+1, FALSE)</f>
        <v>16.803260264429078</v>
      </c>
      <c r="G13" s="26">
        <f t="shared" si="0"/>
        <v>18.84</v>
      </c>
      <c r="H13" s="70">
        <f t="shared" si="2"/>
        <v>0.10810720464813812</v>
      </c>
      <c r="J13" s="26"/>
      <c r="N13" s="26"/>
    </row>
    <row r="14" spans="1:14" x14ac:dyDescent="0.25">
      <c r="A14" s="25" t="s">
        <v>176</v>
      </c>
      <c r="B14" s="44">
        <v>19.66</v>
      </c>
      <c r="C14" s="26">
        <v>21.62</v>
      </c>
      <c r="D14" s="70">
        <f t="shared" si="1"/>
        <v>9.0656799259944534E-2</v>
      </c>
      <c r="E14" s="26"/>
      <c r="F14" s="61">
        <f>$B14 * VLOOKUP(2025, tblCPI[], MATCH(INDEX(tblCPI_Map[CPI Region], MATCH($A14, tblCPI_Map[Census Division and State], 0)), tblCPI[[#Headers],[West]:[National]], 0)+1, FALSE) /VLOOKUP(2024, tblCPI[], MATCH(INDEX(tblCPI_Map[CPI Region], MATCH($A14, tblCPI_Map[Census Division and State], 0)), tblCPI[[#Headers],[West]:[National]], 0)+1, FALSE)</f>
        <v>20.279441178555903</v>
      </c>
      <c r="G14" s="26">
        <f t="shared" si="0"/>
        <v>21.62</v>
      </c>
      <c r="H14" s="70">
        <f t="shared" si="2"/>
        <v>6.2005495903982341E-2</v>
      </c>
      <c r="J14" s="26"/>
      <c r="N14" s="26"/>
    </row>
    <row r="15" spans="1:14" x14ac:dyDescent="0.25">
      <c r="A15" s="25" t="s">
        <v>177</v>
      </c>
      <c r="B15" s="44">
        <v>12.51</v>
      </c>
      <c r="C15" s="26">
        <v>14.11</v>
      </c>
      <c r="D15" s="70">
        <f t="shared" si="1"/>
        <v>0.11339475549255845</v>
      </c>
      <c r="E15" s="26"/>
      <c r="F15" s="61">
        <f>$B15 * VLOOKUP(2025, tblCPI[], MATCH(INDEX(tblCPI_Map[CPI Region], MATCH($A15, tblCPI_Map[Census Division and State], 0)), tblCPI[[#Headers],[West]:[National]], 0)+1, FALSE) /VLOOKUP(2024, tblCPI[], MATCH(INDEX(tblCPI_Map[CPI Region], MATCH($A15, tblCPI_Map[Census Division and State], 0)), tblCPI[[#Headers],[West]:[National]], 0)+1, FALSE)</f>
        <v>12.904161197544983</v>
      </c>
      <c r="G15" s="26">
        <f t="shared" si="0"/>
        <v>14.11</v>
      </c>
      <c r="H15" s="70">
        <f t="shared" si="2"/>
        <v>8.5459872604891296E-2</v>
      </c>
      <c r="J15" s="26"/>
      <c r="N15" s="26"/>
    </row>
    <row r="16" spans="1:14" x14ac:dyDescent="0.25">
      <c r="A16" s="60" t="s">
        <v>178</v>
      </c>
      <c r="B16" s="44">
        <v>12.22</v>
      </c>
      <c r="C16" s="26">
        <v>13.28</v>
      </c>
      <c r="D16" s="70">
        <f t="shared" si="1"/>
        <v>7.9819277108433645E-2</v>
      </c>
      <c r="E16" s="26"/>
      <c r="F16" s="61">
        <f>$B16 * VLOOKUP(2025, tblCPI[], MATCH(INDEX(tblCPI_Map[CPI Region], MATCH($A16, tblCPI_Map[Census Division and State], 0)), tblCPI[[#Headers],[West]:[National]], 0)+1, FALSE) /VLOOKUP(2024, tblCPI[], MATCH(INDEX(tblCPI_Map[CPI Region], MATCH($A16, tblCPI_Map[Census Division and State], 0)), tblCPI[[#Headers],[West]:[National]], 0)+1, FALSE)</f>
        <v>12.559325205771946</v>
      </c>
      <c r="G16" s="26">
        <f t="shared" si="0"/>
        <v>13.28</v>
      </c>
      <c r="H16" s="70">
        <f t="shared" si="2"/>
        <v>5.4267680288257E-2</v>
      </c>
      <c r="J16" s="26"/>
      <c r="N16" s="26"/>
    </row>
    <row r="17" spans="1:14" x14ac:dyDescent="0.25">
      <c r="A17" s="25" t="s">
        <v>179</v>
      </c>
      <c r="B17" s="44">
        <v>12.21</v>
      </c>
      <c r="C17" s="26">
        <v>13.74</v>
      </c>
      <c r="D17" s="70">
        <f t="shared" si="1"/>
        <v>0.11135371179039297</v>
      </c>
      <c r="E17" s="26"/>
      <c r="F17" s="61">
        <f>$B17 * VLOOKUP(2025, tblCPI[], MATCH(INDEX(tblCPI_Map[CPI Region], MATCH($A17, tblCPI_Map[Census Division and State], 0)), tblCPI[[#Headers],[West]:[National]], 0)+1, FALSE) /VLOOKUP(2024, tblCPI[], MATCH(INDEX(tblCPI_Map[CPI Region], MATCH($A17, tblCPI_Map[Census Division and State], 0)), tblCPI[[#Headers],[West]:[National]], 0)+1, FALSE)</f>
        <v>12.549047525570824</v>
      </c>
      <c r="G17" s="26">
        <f t="shared" si="0"/>
        <v>13.74</v>
      </c>
      <c r="H17" s="70">
        <f t="shared" si="2"/>
        <v>8.6677763786694048E-2</v>
      </c>
      <c r="J17" s="26"/>
      <c r="N17" s="26"/>
    </row>
    <row r="18" spans="1:14" x14ac:dyDescent="0.25">
      <c r="A18" s="25" t="s">
        <v>180</v>
      </c>
      <c r="B18" s="44">
        <v>11.38</v>
      </c>
      <c r="C18" s="26">
        <v>12.57</v>
      </c>
      <c r="D18" s="70">
        <f t="shared" si="1"/>
        <v>9.4669848846459778E-2</v>
      </c>
      <c r="E18" s="26"/>
      <c r="F18" s="61">
        <f>$B18 * VLOOKUP(2025, tblCPI[], MATCH(INDEX(tblCPI_Map[CPI Region], MATCH($A18, tblCPI_Map[Census Division and State], 0)), tblCPI[[#Headers],[West]:[National]], 0)+1, FALSE) /VLOOKUP(2024, tblCPI[], MATCH(INDEX(tblCPI_Map[CPI Region], MATCH($A18, tblCPI_Map[Census Division and State], 0)), tblCPI[[#Headers],[West]:[National]], 0)+1, FALSE)</f>
        <v>11.696000068877639</v>
      </c>
      <c r="G18" s="26">
        <f t="shared" si="0"/>
        <v>12.57</v>
      </c>
      <c r="H18" s="70">
        <f t="shared" si="2"/>
        <v>6.9530623000983366E-2</v>
      </c>
      <c r="J18" s="26"/>
      <c r="N18" s="26"/>
    </row>
    <row r="19" spans="1:14" x14ac:dyDescent="0.25">
      <c r="A19" s="25" t="s">
        <v>181</v>
      </c>
      <c r="B19" s="44">
        <v>14.16</v>
      </c>
      <c r="C19" s="26">
        <v>14.73</v>
      </c>
      <c r="D19" s="70">
        <f t="shared" si="1"/>
        <v>3.8696537678207757E-2</v>
      </c>
      <c r="E19" s="26"/>
      <c r="F19" s="61">
        <f>$B19 * VLOOKUP(2025, tblCPI[], MATCH(INDEX(tblCPI_Map[CPI Region], MATCH($A19, tblCPI_Map[Census Division and State], 0)), tblCPI[[#Headers],[West]:[National]], 0)+1, FALSE) /VLOOKUP(2024, tblCPI[], MATCH(INDEX(tblCPI_Map[CPI Region], MATCH($A19, tblCPI_Map[Census Division and State], 0)), tblCPI[[#Headers],[West]:[National]], 0)+1, FALSE)</f>
        <v>14.55319516478975</v>
      </c>
      <c r="G19" s="26">
        <f t="shared" si="0"/>
        <v>14.73</v>
      </c>
      <c r="H19" s="70">
        <f t="shared" si="2"/>
        <v>1.2003043802460965E-2</v>
      </c>
      <c r="J19" s="26"/>
      <c r="N19" s="26"/>
    </row>
    <row r="20" spans="1:14" x14ac:dyDescent="0.25">
      <c r="A20" s="25" t="s">
        <v>182</v>
      </c>
      <c r="B20" s="44">
        <v>11.29</v>
      </c>
      <c r="C20" s="26">
        <v>12.43</v>
      </c>
      <c r="D20" s="70">
        <f t="shared" si="1"/>
        <v>9.1713596138374945E-2</v>
      </c>
      <c r="E20" s="44"/>
      <c r="F20" s="61">
        <f>$B20 * VLOOKUP(2025, tblCPI[], MATCH(INDEX(tblCPI_Map[CPI Region], MATCH($A20, tblCPI_Map[Census Division and State], 0)), tblCPI[[#Headers],[West]:[National]], 0)+1, FALSE) /VLOOKUP(2024, tblCPI[], MATCH(INDEX(tblCPI_Map[CPI Region], MATCH($A20, tblCPI_Map[Census Division and State], 0)), tblCPI[[#Headers],[West]:[National]], 0)+1, FALSE)</f>
        <v>11.603500947067534</v>
      </c>
      <c r="G20" s="26">
        <f t="shared" si="0"/>
        <v>12.43</v>
      </c>
      <c r="H20" s="70">
        <f t="shared" si="2"/>
        <v>6.649228100824342E-2</v>
      </c>
      <c r="J20" s="26"/>
      <c r="N20" s="26"/>
    </row>
    <row r="21" spans="1:14" x14ac:dyDescent="0.25">
      <c r="A21" s="25" t="s">
        <v>185</v>
      </c>
      <c r="B21" s="44">
        <v>12.72</v>
      </c>
      <c r="C21" s="26">
        <v>13.35</v>
      </c>
      <c r="D21" s="70">
        <f t="shared" si="1"/>
        <v>4.7191011235954983E-2</v>
      </c>
      <c r="E21" s="44"/>
      <c r="F21" s="61">
        <f>$B21 * VLOOKUP(2025, tblCPI[], MATCH(INDEX(tblCPI_Map[CPI Region], MATCH($A21, tblCPI_Map[Census Division and State], 0)), tblCPI[[#Headers],[West]:[National]], 0)+1, FALSE) /VLOOKUP(2024, tblCPI[], MATCH(INDEX(tblCPI_Map[CPI Region], MATCH($A21, tblCPI_Map[Census Division and State], 0)), tblCPI[[#Headers],[West]:[National]], 0)+1, FALSE)</f>
        <v>13.073209215828081</v>
      </c>
      <c r="G21" s="26">
        <f t="shared" si="0"/>
        <v>13.35</v>
      </c>
      <c r="H21" s="70">
        <f t="shared" si="2"/>
        <v>2.0733392072802892E-2</v>
      </c>
      <c r="J21" s="26"/>
      <c r="N21" s="26"/>
    </row>
    <row r="22" spans="1:14" x14ac:dyDescent="0.25">
      <c r="A22" s="60" t="s">
        <v>188</v>
      </c>
      <c r="B22" s="44">
        <v>10.52</v>
      </c>
      <c r="C22" s="26">
        <v>10.91</v>
      </c>
      <c r="D22" s="70">
        <f t="shared" si="1"/>
        <v>3.574702108157659E-2</v>
      </c>
      <c r="E22" s="44"/>
      <c r="F22" s="61">
        <f>$B22 * VLOOKUP(2025, tblCPI[], MATCH(INDEX(tblCPI_Map[CPI Region], MATCH($A22, tblCPI_Map[Census Division and State], 0)), tblCPI[[#Headers],[West]:[National]], 0)+1, FALSE) /VLOOKUP(2024, tblCPI[], MATCH(INDEX(tblCPI_Map[CPI Region], MATCH($A22, tblCPI_Map[Census Division and State], 0)), tblCPI[[#Headers],[West]:[National]], 0)+1, FALSE)</f>
        <v>10.812119571581086</v>
      </c>
      <c r="G22" s="26">
        <f t="shared" si="0"/>
        <v>10.91</v>
      </c>
      <c r="H22" s="70">
        <f t="shared" si="2"/>
        <v>8.9716249696530272E-3</v>
      </c>
      <c r="J22" s="26"/>
      <c r="N22" s="26"/>
    </row>
    <row r="23" spans="1:14" x14ac:dyDescent="0.25">
      <c r="A23" s="25" t="s">
        <v>191</v>
      </c>
      <c r="B23" s="44">
        <v>9.34</v>
      </c>
      <c r="C23" s="26">
        <v>9.76</v>
      </c>
      <c r="D23" s="70">
        <f t="shared" si="1"/>
        <v>4.3032786885245894E-2</v>
      </c>
      <c r="E23" s="44"/>
      <c r="F23" s="61">
        <f>$B23 * VLOOKUP(2025, tblCPI[], MATCH(INDEX(tblCPI_Map[CPI Region], MATCH($A23, tblCPI_Map[Census Division and State], 0)), tblCPI[[#Headers],[West]:[National]], 0)+1, FALSE) /VLOOKUP(2024, tblCPI[], MATCH(INDEX(tblCPI_Map[CPI Region], MATCH($A23, tblCPI_Map[Census Division and State], 0)), tblCPI[[#Headers],[West]:[National]], 0)+1, FALSE)</f>
        <v>9.599353307848606</v>
      </c>
      <c r="G23" s="26">
        <f t="shared" si="0"/>
        <v>9.76</v>
      </c>
      <c r="H23" s="70">
        <f t="shared" si="2"/>
        <v>1.6459702064691991E-2</v>
      </c>
      <c r="J23" s="26"/>
      <c r="N23" s="26"/>
    </row>
    <row r="24" spans="1:14" x14ac:dyDescent="0.25">
      <c r="A24" s="25" t="s">
        <v>193</v>
      </c>
      <c r="B24" s="44">
        <v>11.21</v>
      </c>
      <c r="C24" s="26">
        <v>11.52</v>
      </c>
      <c r="D24" s="70">
        <f t="shared" si="1"/>
        <v>2.6909722222222113E-2</v>
      </c>
      <c r="E24" s="44"/>
      <c r="F24" s="61">
        <f>$B24 * VLOOKUP(2025, tblCPI[], MATCH(INDEX(tblCPI_Map[CPI Region], MATCH($A24, tblCPI_Map[Census Division and State], 0)), tblCPI[[#Headers],[West]:[National]], 0)+1, FALSE) /VLOOKUP(2024, tblCPI[], MATCH(INDEX(tblCPI_Map[CPI Region], MATCH($A24, tblCPI_Map[Census Division and State], 0)), tblCPI[[#Headers],[West]:[National]], 0)+1, FALSE)</f>
        <v>11.521279505458553</v>
      </c>
      <c r="G24" s="26">
        <f t="shared" si="0"/>
        <v>11.52</v>
      </c>
      <c r="H24" s="70">
        <f t="shared" si="2"/>
        <v>-1.1106818216610131E-4</v>
      </c>
      <c r="J24" s="26"/>
      <c r="N24" s="26"/>
    </row>
    <row r="25" spans="1:14" x14ac:dyDescent="0.25">
      <c r="A25" s="25" t="s">
        <v>195</v>
      </c>
      <c r="B25" s="44">
        <v>12.35</v>
      </c>
      <c r="C25" s="26">
        <v>12.67</v>
      </c>
      <c r="D25" s="70">
        <f t="shared" si="1"/>
        <v>2.5256511444356772E-2</v>
      </c>
      <c r="E25" s="44"/>
      <c r="F25" s="61">
        <f>$B25 * VLOOKUP(2025, tblCPI[], MATCH(INDEX(tblCPI_Map[CPI Region], MATCH($A25, tblCPI_Map[Census Division and State], 0)), tblCPI[[#Headers],[West]:[National]], 0)+1, FALSE) /VLOOKUP(2024, tblCPI[], MATCH(INDEX(tblCPI_Map[CPI Region], MATCH($A25, tblCPI_Map[Census Division and State], 0)), tblCPI[[#Headers],[West]:[National]], 0)+1, FALSE)</f>
        <v>12.69293504838654</v>
      </c>
      <c r="G25" s="26">
        <f t="shared" si="0"/>
        <v>12.67</v>
      </c>
      <c r="H25" s="70">
        <f t="shared" si="2"/>
        <v>-1.8101853501609781E-3</v>
      </c>
      <c r="J25" s="26"/>
      <c r="N25" s="26"/>
    </row>
    <row r="26" spans="1:14" x14ac:dyDescent="0.25">
      <c r="A26" s="25" t="s">
        <v>196</v>
      </c>
      <c r="B26" s="44">
        <v>11.06</v>
      </c>
      <c r="C26" s="26">
        <v>11.57</v>
      </c>
      <c r="D26" s="70">
        <f t="shared" si="1"/>
        <v>4.407951598962833E-2</v>
      </c>
      <c r="E26" s="44"/>
      <c r="F26" s="61">
        <f>$B26 * VLOOKUP(2025, tblCPI[], MATCH(INDEX(tblCPI_Map[CPI Region], MATCH($A26, tblCPI_Map[Census Division and State], 0)), tblCPI[[#Headers],[West]:[National]], 0)+1, FALSE) /VLOOKUP(2024, tblCPI[], MATCH(INDEX(tblCPI_Map[CPI Region], MATCH($A26, tblCPI_Map[Census Division and State], 0)), tblCPI[[#Headers],[West]:[National]], 0)+1, FALSE)</f>
        <v>11.367114302441712</v>
      </c>
      <c r="G26" s="26">
        <f t="shared" si="0"/>
        <v>11.57</v>
      </c>
      <c r="H26" s="70">
        <f t="shared" si="2"/>
        <v>1.7535496763897034E-2</v>
      </c>
      <c r="J26" s="26"/>
      <c r="N26" s="26"/>
    </row>
    <row r="27" spans="1:14" x14ac:dyDescent="0.25">
      <c r="A27" s="25" t="s">
        <v>199</v>
      </c>
      <c r="B27" s="44">
        <v>9.07</v>
      </c>
      <c r="C27" s="26">
        <v>9.5500000000000007</v>
      </c>
      <c r="D27" s="70">
        <f t="shared" si="1"/>
        <v>5.0261780104712085E-2</v>
      </c>
      <c r="E27" s="44"/>
      <c r="F27" s="62">
        <f>$B27 * VLOOKUP(2025, tblCPI[], MATCH(INDEX(tblCPI_Map[CPI Region], MATCH($A27, tblCPI_Map[Census Division and State], 0)), tblCPI[[#Headers],[West]:[National]], 0)+1, FALSE) /VLOOKUP(2024, tblCPI[], MATCH(INDEX(tblCPI_Map[CPI Region], MATCH($A27, tblCPI_Map[Census Division and State], 0)), tblCPI[[#Headers],[West]:[National]], 0)+1, FALSE)</f>
        <v>9.3218559424182938</v>
      </c>
      <c r="G27" s="26">
        <f t="shared" si="0"/>
        <v>9.5500000000000007</v>
      </c>
      <c r="H27" s="70">
        <f t="shared" si="2"/>
        <v>2.3889430113267732E-2</v>
      </c>
      <c r="J27" s="26"/>
      <c r="N27" s="26"/>
    </row>
    <row r="28" spans="1:14" x14ac:dyDescent="0.25">
      <c r="A28" s="25" t="s">
        <v>201</v>
      </c>
      <c r="B28" s="44">
        <v>7.93</v>
      </c>
      <c r="C28" s="26">
        <v>8.1999999999999993</v>
      </c>
      <c r="D28" s="70">
        <f t="shared" si="1"/>
        <v>3.2926829268292636E-2</v>
      </c>
      <c r="E28" s="44"/>
      <c r="F28" s="61">
        <f>$B28 * VLOOKUP(2025, tblCPI[], MATCH(INDEX(tblCPI_Map[CPI Region], MATCH($A28, tblCPI_Map[Census Division and State], 0)), tblCPI[[#Headers],[West]:[National]], 0)+1, FALSE) /VLOOKUP(2024, tblCPI[], MATCH(INDEX(tblCPI_Map[CPI Region], MATCH($A28, tblCPI_Map[Census Division and State], 0)), tblCPI[[#Headers],[West]:[National]], 0)+1, FALSE)</f>
        <v>8.1502003994903038</v>
      </c>
      <c r="G28" s="26">
        <f t="shared" si="0"/>
        <v>8.1999999999999993</v>
      </c>
      <c r="H28" s="70">
        <f t="shared" si="2"/>
        <v>6.0731220133774947E-3</v>
      </c>
      <c r="J28" s="26"/>
      <c r="N28" s="26"/>
    </row>
    <row r="29" spans="1:14" x14ac:dyDescent="0.25">
      <c r="A29" s="25" t="s">
        <v>203</v>
      </c>
      <c r="B29" s="44">
        <v>10.87</v>
      </c>
      <c r="C29" s="26">
        <v>11.35</v>
      </c>
      <c r="D29" s="70">
        <f t="shared" si="1"/>
        <v>4.2290748898678454E-2</v>
      </c>
      <c r="E29" s="44"/>
      <c r="F29" s="61">
        <f>$B29 * VLOOKUP(2025, tblCPI[], MATCH(INDEX(tblCPI_Map[CPI Region], MATCH($A29, tblCPI_Map[Census Division and State], 0)), tblCPI[[#Headers],[West]:[National]], 0)+1, FALSE) /VLOOKUP(2024, tblCPI[], MATCH(INDEX(tblCPI_Map[CPI Region], MATCH($A29, tblCPI_Map[Census Division and State], 0)), tblCPI[[#Headers],[West]:[National]], 0)+1, FALSE)</f>
        <v>11.171838378620381</v>
      </c>
      <c r="G29" s="26">
        <f t="shared" si="0"/>
        <v>11.35</v>
      </c>
      <c r="H29" s="70">
        <f t="shared" si="2"/>
        <v>1.569705915238935E-2</v>
      </c>
      <c r="J29" s="26"/>
      <c r="N29" s="26"/>
    </row>
    <row r="30" spans="1:14" x14ac:dyDescent="0.25">
      <c r="A30" s="60" t="s">
        <v>204</v>
      </c>
      <c r="B30" s="44">
        <v>11.92</v>
      </c>
      <c r="C30" s="26">
        <v>12.59</v>
      </c>
      <c r="D30" s="70">
        <f t="shared" si="1"/>
        <v>5.3216838760921363E-2</v>
      </c>
      <c r="E30" s="44"/>
      <c r="F30" s="61">
        <f>$B30 * VLOOKUP(2025, tblCPI[], MATCH(INDEX(tblCPI_Map[CPI Region], MATCH($A30, tblCPI_Map[Census Division and State], 0)), tblCPI[[#Headers],[West]:[National]], 0)+1, FALSE) /VLOOKUP(2024, tblCPI[], MATCH(INDEX(tblCPI_Map[CPI Region], MATCH($A30, tblCPI_Map[Census Division and State], 0)), tblCPI[[#Headers],[West]:[National]], 0)+1, FALSE)</f>
        <v>12.185985117321511</v>
      </c>
      <c r="G30" s="26">
        <f t="shared" si="0"/>
        <v>12.59</v>
      </c>
      <c r="H30" s="70">
        <f t="shared" si="2"/>
        <v>3.2090141594796555E-2</v>
      </c>
      <c r="J30" s="26"/>
      <c r="N30" s="26"/>
    </row>
    <row r="31" spans="1:14" x14ac:dyDescent="0.25">
      <c r="A31" s="25" t="s">
        <v>207</v>
      </c>
      <c r="B31" s="44">
        <v>13.56</v>
      </c>
      <c r="C31" s="26">
        <v>14.19</v>
      </c>
      <c r="D31" s="70">
        <f t="shared" si="1"/>
        <v>4.4397463002114099E-2</v>
      </c>
      <c r="E31" s="44"/>
      <c r="F31" s="61">
        <f>$B31 * VLOOKUP(2025, tblCPI[], MATCH(INDEX(tblCPI_Map[CPI Region], MATCH($A31, tblCPI_Map[Census Division and State], 0)), tblCPI[[#Headers],[West]:[National]], 0)+1, FALSE) /VLOOKUP(2024, tblCPI[], MATCH(INDEX(tblCPI_Map[CPI Region], MATCH($A31, tblCPI_Map[Census Division and State], 0)), tblCPI[[#Headers],[West]:[National]], 0)+1, FALSE)</f>
        <v>13.862580385140914</v>
      </c>
      <c r="G31" s="26">
        <f t="shared" si="0"/>
        <v>14.19</v>
      </c>
      <c r="H31" s="70">
        <f t="shared" si="2"/>
        <v>2.3073968629956684E-2</v>
      </c>
      <c r="J31" s="26"/>
      <c r="N31" s="26"/>
    </row>
    <row r="32" spans="1:14" x14ac:dyDescent="0.25">
      <c r="A32" s="25" t="s">
        <v>208</v>
      </c>
      <c r="B32" s="44">
        <v>16.88</v>
      </c>
      <c r="C32" s="26">
        <v>20.34</v>
      </c>
      <c r="D32" s="70">
        <f t="shared" si="1"/>
        <v>0.17010816125860379</v>
      </c>
      <c r="E32" s="44"/>
      <c r="F32" s="61">
        <f>$B32 * VLOOKUP(2025, tblCPI[], MATCH(INDEX(tblCPI_Map[CPI Region], MATCH($A32, tblCPI_Map[Census Division and State], 0)), tblCPI[[#Headers],[West]:[National]], 0)+1, FALSE) /VLOOKUP(2024, tblCPI[], MATCH(INDEX(tblCPI_Map[CPI Region], MATCH($A32, tblCPI_Map[Census Division and State], 0)), tblCPI[[#Headers],[West]:[National]], 0)+1, FALSE)</f>
        <v>17.256663488287508</v>
      </c>
      <c r="G32" s="26">
        <f t="shared" si="0"/>
        <v>20.34</v>
      </c>
      <c r="H32" s="70">
        <f t="shared" si="2"/>
        <v>0.15158979900258074</v>
      </c>
      <c r="J32" s="26"/>
      <c r="N32" s="26"/>
    </row>
    <row r="33" spans="1:14" x14ac:dyDescent="0.25">
      <c r="A33" s="25" t="s">
        <v>209</v>
      </c>
      <c r="B33" s="44">
        <v>12.53</v>
      </c>
      <c r="C33" s="26">
        <v>13.34</v>
      </c>
      <c r="D33" s="70">
        <f t="shared" si="1"/>
        <v>6.0719640179910085E-2</v>
      </c>
      <c r="E33" s="44"/>
      <c r="F33" s="61">
        <f>$B33 * VLOOKUP(2025, tblCPI[], MATCH(INDEX(tblCPI_Map[CPI Region], MATCH($A33, tblCPI_Map[Census Division and State], 0)), tblCPI[[#Headers],[West]:[National]], 0)+1, FALSE) /VLOOKUP(2024, tblCPI[], MATCH(INDEX(tblCPI_Map[CPI Region], MATCH($A33, tblCPI_Map[Census Division and State], 0)), tblCPI[[#Headers],[West]:[National]], 0)+1, FALSE)</f>
        <v>12.809596771815311</v>
      </c>
      <c r="G33" s="26">
        <f t="shared" si="0"/>
        <v>13.34</v>
      </c>
      <c r="H33" s="70">
        <f t="shared" si="2"/>
        <v>3.9760361932885208E-2</v>
      </c>
      <c r="J33" s="26"/>
      <c r="N33" s="26"/>
    </row>
    <row r="34" spans="1:14" x14ac:dyDescent="0.25">
      <c r="A34" s="25" t="s">
        <v>210</v>
      </c>
      <c r="B34" s="44">
        <v>11.4</v>
      </c>
      <c r="C34" s="26">
        <v>12.03</v>
      </c>
      <c r="D34" s="70">
        <f t="shared" si="1"/>
        <v>5.236907730673309E-2</v>
      </c>
      <c r="E34" s="44"/>
      <c r="F34" s="61">
        <f>$B34 * VLOOKUP(2025, tblCPI[], MATCH(INDEX(tblCPI_Map[CPI Region], MATCH($A34, tblCPI_Map[Census Division and State], 0)), tblCPI[[#Headers],[West]:[National]], 0)+1, FALSE) /VLOOKUP(2024, tblCPI[], MATCH(INDEX(tblCPI_Map[CPI Region], MATCH($A34, tblCPI_Map[Census Division and State], 0)), tblCPI[[#Headers],[West]:[National]], 0)+1, FALSE)</f>
        <v>11.654381739720238</v>
      </c>
      <c r="G34" s="26">
        <f t="shared" si="0"/>
        <v>12.03</v>
      </c>
      <c r="H34" s="70">
        <f t="shared" si="2"/>
        <v>3.1223463032399132E-2</v>
      </c>
      <c r="J34" s="26"/>
      <c r="N34" s="26"/>
    </row>
    <row r="35" spans="1:14" x14ac:dyDescent="0.25">
      <c r="A35" s="25" t="s">
        <v>211</v>
      </c>
      <c r="B35" s="44">
        <v>15.04</v>
      </c>
      <c r="C35" s="26">
        <v>16.829999999999998</v>
      </c>
      <c r="D35" s="70">
        <f t="shared" si="1"/>
        <v>0.10635769459298867</v>
      </c>
      <c r="E35" s="44"/>
      <c r="F35" s="61">
        <f>$B35 * VLOOKUP(2025, tblCPI[], MATCH(INDEX(tblCPI_Map[CPI Region], MATCH($A35, tblCPI_Map[Census Division and State], 0)), tblCPI[[#Headers],[West]:[National]], 0)+1, FALSE) /VLOOKUP(2024, tblCPI[], MATCH(INDEX(tblCPI_Map[CPI Region], MATCH($A35, tblCPI_Map[Census Division and State], 0)), tblCPI[[#Headers],[West]:[National]], 0)+1, FALSE)</f>
        <v>15.375605382929153</v>
      </c>
      <c r="G35" s="26">
        <f t="shared" si="0"/>
        <v>16.829999999999998</v>
      </c>
      <c r="H35" s="70">
        <f t="shared" si="2"/>
        <v>8.6416792458160724E-2</v>
      </c>
      <c r="J35" s="26"/>
      <c r="N35" s="26"/>
    </row>
    <row r="36" spans="1:14" x14ac:dyDescent="0.25">
      <c r="A36" s="25" t="s">
        <v>212</v>
      </c>
      <c r="B36" s="44">
        <v>11.65</v>
      </c>
      <c r="C36" s="26">
        <v>11.53</v>
      </c>
      <c r="D36" s="70">
        <f t="shared" si="1"/>
        <v>-1.0407632263660104E-2</v>
      </c>
      <c r="E36" s="44"/>
      <c r="F36" s="61">
        <f>$B36 * VLOOKUP(2025, tblCPI[], MATCH(INDEX(tblCPI_Map[CPI Region], MATCH($A36, tblCPI_Map[Census Division and State], 0)), tblCPI[[#Headers],[West]:[National]], 0)+1, FALSE) /VLOOKUP(2024, tblCPI[], MATCH(INDEX(tblCPI_Map[CPI Region], MATCH($A36, tblCPI_Map[Census Division and State], 0)), tblCPI[[#Headers],[West]:[National]], 0)+1, FALSE)</f>
        <v>11.909960286643928</v>
      </c>
      <c r="G36" s="26">
        <f t="shared" si="0"/>
        <v>11.53</v>
      </c>
      <c r="H36" s="70">
        <f t="shared" si="2"/>
        <v>-3.2954057818207171E-2</v>
      </c>
      <c r="J36" s="26"/>
      <c r="N36" s="26"/>
    </row>
    <row r="37" spans="1:14" x14ac:dyDescent="0.25">
      <c r="A37" s="25" t="s">
        <v>213</v>
      </c>
      <c r="B37" s="44">
        <v>10.9</v>
      </c>
      <c r="C37" s="26">
        <v>11.45</v>
      </c>
      <c r="D37" s="70">
        <f t="shared" si="1"/>
        <v>4.8034934497816505E-2</v>
      </c>
      <c r="E37" s="44"/>
      <c r="F37" s="61">
        <f>$B37 * VLOOKUP(2025, tblCPI[], MATCH(INDEX(tblCPI_Map[CPI Region], MATCH($A37, tblCPI_Map[Census Division and State], 0)), tblCPI[[#Headers],[West]:[National]], 0)+1, FALSE) /VLOOKUP(2024, tblCPI[], MATCH(INDEX(tblCPI_Map[CPI Region], MATCH($A37, tblCPI_Map[Census Division and State], 0)), tblCPI[[#Headers],[West]:[National]], 0)+1, FALSE)</f>
        <v>11.143224645872859</v>
      </c>
      <c r="G37" s="26">
        <f t="shared" ref="G37:G66" si="3">C37</f>
        <v>11.45</v>
      </c>
      <c r="H37" s="70">
        <f t="shared" si="2"/>
        <v>2.6792607347348479E-2</v>
      </c>
      <c r="J37" s="26"/>
      <c r="N37" s="26"/>
    </row>
    <row r="38" spans="1:14" x14ac:dyDescent="0.25">
      <c r="A38" s="25" t="s">
        <v>214</v>
      </c>
      <c r="B38" s="44">
        <v>10.62</v>
      </c>
      <c r="C38" s="26">
        <v>11.41</v>
      </c>
      <c r="D38" s="70">
        <f t="shared" si="1"/>
        <v>6.923751095530245E-2</v>
      </c>
      <c r="E38" s="44"/>
      <c r="F38" s="61">
        <f>$B38 * VLOOKUP(2025, tblCPI[], MATCH(INDEX(tblCPI_Map[CPI Region], MATCH($A38, tblCPI_Map[Census Division and State], 0)), tblCPI[[#Headers],[West]:[National]], 0)+1, FALSE) /VLOOKUP(2024, tblCPI[], MATCH(INDEX(tblCPI_Map[CPI Region], MATCH($A38, tblCPI_Map[Census Division and State], 0)), tblCPI[[#Headers],[West]:[National]], 0)+1, FALSE)</f>
        <v>10.856976673318325</v>
      </c>
      <c r="G38" s="26">
        <f t="shared" si="3"/>
        <v>11.41</v>
      </c>
      <c r="H38" s="70">
        <f t="shared" si="2"/>
        <v>4.846830207551929E-2</v>
      </c>
      <c r="J38" s="26"/>
      <c r="N38" s="26"/>
    </row>
    <row r="39" spans="1:14" x14ac:dyDescent="0.25">
      <c r="A39" s="25" t="s">
        <v>215</v>
      </c>
      <c r="B39" s="44">
        <v>11.05</v>
      </c>
      <c r="C39" s="26">
        <v>11.4</v>
      </c>
      <c r="D39" s="70">
        <f t="shared" si="1"/>
        <v>3.0701754385964879E-2</v>
      </c>
      <c r="E39" s="44"/>
      <c r="F39" s="61">
        <f>$B39 * VLOOKUP(2025, tblCPI[], MATCH(INDEX(tblCPI_Map[CPI Region], MATCH($A39, tblCPI_Map[Census Division and State], 0)), tblCPI[[#Headers],[West]:[National]], 0)+1, FALSE) /VLOOKUP(2024, tblCPI[], MATCH(INDEX(tblCPI_Map[CPI Region], MATCH($A39, tblCPI_Map[Census Division and State], 0)), tblCPI[[#Headers],[West]:[National]], 0)+1, FALSE)</f>
        <v>11.296571774027072</v>
      </c>
      <c r="G39" s="26">
        <f t="shared" si="3"/>
        <v>11.4</v>
      </c>
      <c r="H39" s="70">
        <f t="shared" si="2"/>
        <v>9.0726514011340732E-3</v>
      </c>
      <c r="J39" s="26"/>
      <c r="N39" s="26"/>
    </row>
    <row r="40" spans="1:14" x14ac:dyDescent="0.25">
      <c r="A40" s="60" t="s">
        <v>216</v>
      </c>
      <c r="B40" s="44">
        <v>10.99</v>
      </c>
      <c r="C40" s="26">
        <v>11.62</v>
      </c>
      <c r="D40" s="70">
        <f t="shared" si="1"/>
        <v>5.4216867469879436E-2</v>
      </c>
      <c r="E40" s="44"/>
      <c r="F40" s="61">
        <f>$B40 * VLOOKUP(2025, tblCPI[], MATCH(INDEX(tblCPI_Map[CPI Region], MATCH($A40, tblCPI_Map[Census Division and State], 0)), tblCPI[[#Headers],[West]:[National]], 0)+1, FALSE) /VLOOKUP(2024, tblCPI[], MATCH(INDEX(tblCPI_Map[CPI Region], MATCH($A40, tblCPI_Map[Census Division and State], 0)), tblCPI[[#Headers],[West]:[National]], 0)+1, FALSE)</f>
        <v>11.235232922765388</v>
      </c>
      <c r="G40" s="26">
        <f t="shared" si="3"/>
        <v>11.62</v>
      </c>
      <c r="H40" s="70">
        <f t="shared" si="2"/>
        <v>3.311248513206641E-2</v>
      </c>
      <c r="J40" s="26"/>
      <c r="N40" s="26"/>
    </row>
    <row r="41" spans="1:14" x14ac:dyDescent="0.25">
      <c r="A41" s="25" t="s">
        <v>217</v>
      </c>
      <c r="B41" s="44">
        <v>11.9</v>
      </c>
      <c r="C41" s="26">
        <v>12.62</v>
      </c>
      <c r="D41" s="70">
        <f t="shared" si="1"/>
        <v>5.7052297939778042E-2</v>
      </c>
      <c r="E41" s="44"/>
      <c r="F41" s="61">
        <f>$B41 * VLOOKUP(2025, tblCPI[], MATCH(INDEX(tblCPI_Map[CPI Region], MATCH($A41, tblCPI_Map[Census Division and State], 0)), tblCPI[[#Headers],[West]:[National]], 0)+1, FALSE) /VLOOKUP(2024, tblCPI[], MATCH(INDEX(tblCPI_Map[CPI Region], MATCH($A41, tblCPI_Map[Census Division and State], 0)), tblCPI[[#Headers],[West]:[National]], 0)+1, FALSE)</f>
        <v>12.165538833567616</v>
      </c>
      <c r="G41" s="26">
        <f t="shared" si="3"/>
        <v>12.62</v>
      </c>
      <c r="H41" s="70">
        <f t="shared" si="2"/>
        <v>3.6011185929665832E-2</v>
      </c>
      <c r="J41" s="26"/>
    </row>
    <row r="42" spans="1:14" x14ac:dyDescent="0.25">
      <c r="A42" s="25" t="s">
        <v>218</v>
      </c>
      <c r="B42" s="44">
        <v>10.07</v>
      </c>
      <c r="C42" s="26">
        <v>10.55</v>
      </c>
      <c r="D42" s="70">
        <f t="shared" si="1"/>
        <v>4.5497630331753594E-2</v>
      </c>
      <c r="E42" s="44"/>
      <c r="F42" s="61">
        <f>$B42 * VLOOKUP(2025, tblCPI[], MATCH(INDEX(tblCPI_Map[CPI Region], MATCH($A42, tblCPI_Map[Census Division and State], 0)), tblCPI[[#Headers],[West]:[National]], 0)+1, FALSE) /VLOOKUP(2024, tblCPI[], MATCH(INDEX(tblCPI_Map[CPI Region], MATCH($A42, tblCPI_Map[Census Division and State], 0)), tblCPI[[#Headers],[West]:[National]], 0)+1, FALSE)</f>
        <v>10.294703870086209</v>
      </c>
      <c r="G42" s="26">
        <f t="shared" si="3"/>
        <v>10.55</v>
      </c>
      <c r="H42" s="70">
        <f t="shared" si="2"/>
        <v>2.4198685299885423E-2</v>
      </c>
      <c r="J42" s="26"/>
    </row>
    <row r="43" spans="1:14" x14ac:dyDescent="0.25">
      <c r="A43" s="25" t="s">
        <v>219</v>
      </c>
      <c r="B43" s="44">
        <v>10.93</v>
      </c>
      <c r="C43" s="26">
        <v>11.57</v>
      </c>
      <c r="D43" s="70">
        <f t="shared" si="1"/>
        <v>5.5315471045808175E-2</v>
      </c>
      <c r="E43" s="44"/>
      <c r="F43" s="61">
        <f>$B43 * VLOOKUP(2025, tblCPI[], MATCH(INDEX(tblCPI_Map[CPI Region], MATCH($A43, tblCPI_Map[Census Division and State], 0)), tblCPI[[#Headers],[West]:[National]], 0)+1, FALSE) /VLOOKUP(2024, tblCPI[], MATCH(INDEX(tblCPI_Map[CPI Region], MATCH($A43, tblCPI_Map[Census Division and State], 0)), tblCPI[[#Headers],[West]:[National]], 0)+1, FALSE)</f>
        <v>11.173894071503701</v>
      </c>
      <c r="G43" s="26">
        <f t="shared" si="3"/>
        <v>11.57</v>
      </c>
      <c r="H43" s="70">
        <f t="shared" si="2"/>
        <v>3.4235603154390566E-2</v>
      </c>
      <c r="J43" s="26"/>
    </row>
    <row r="44" spans="1:14" x14ac:dyDescent="0.25">
      <c r="A44" s="25" t="s">
        <v>220</v>
      </c>
      <c r="B44" s="44">
        <v>10.9</v>
      </c>
      <c r="C44" s="26">
        <v>11.57</v>
      </c>
      <c r="D44" s="70">
        <f t="shared" si="1"/>
        <v>5.7908383751080372E-2</v>
      </c>
      <c r="E44" s="44"/>
      <c r="F44" s="61">
        <f>$B44 * VLOOKUP(2025, tblCPI[], MATCH(INDEX(tblCPI_Map[CPI Region], MATCH($A44, tblCPI_Map[Census Division and State], 0)), tblCPI[[#Headers],[West]:[National]], 0)+1, FALSE) /VLOOKUP(2024, tblCPI[], MATCH(INDEX(tblCPI_Map[CPI Region], MATCH($A44, tblCPI_Map[Census Division and State], 0)), tblCPI[[#Headers],[West]:[National]], 0)+1, FALSE)</f>
        <v>11.143224645872859</v>
      </c>
      <c r="G44" s="26">
        <f t="shared" si="3"/>
        <v>11.57</v>
      </c>
      <c r="H44" s="70">
        <f t="shared" si="2"/>
        <v>3.6886374600444347E-2</v>
      </c>
      <c r="J44" s="26"/>
    </row>
    <row r="45" spans="1:14" x14ac:dyDescent="0.25">
      <c r="A45" s="60" t="s">
        <v>221</v>
      </c>
      <c r="B45" s="44">
        <v>9.58</v>
      </c>
      <c r="C45" s="26">
        <v>10</v>
      </c>
      <c r="D45" s="70">
        <f t="shared" si="1"/>
        <v>4.1999999999999996E-2</v>
      </c>
      <c r="E45" s="44"/>
      <c r="F45" s="61">
        <f>$B45 * VLOOKUP(2025, tblCPI[], MATCH(INDEX(tblCPI_Map[CPI Region], MATCH($A45, tblCPI_Map[Census Division and State], 0)), tblCPI[[#Headers],[West]:[National]], 0)+1, FALSE) /VLOOKUP(2024, tblCPI[], MATCH(INDEX(tblCPI_Map[CPI Region], MATCH($A45, tblCPI_Map[Census Division and State], 0)), tblCPI[[#Headers],[West]:[National]], 0)+1, FALSE)</f>
        <v>9.7937699181157782</v>
      </c>
      <c r="G45" s="26">
        <f t="shared" si="3"/>
        <v>10</v>
      </c>
      <c r="H45" s="70">
        <f t="shared" si="2"/>
        <v>2.0623008188422175E-2</v>
      </c>
      <c r="J45" s="26"/>
    </row>
    <row r="46" spans="1:14" x14ac:dyDescent="0.25">
      <c r="A46" s="25" t="s">
        <v>222</v>
      </c>
      <c r="B46" s="44">
        <v>9.59</v>
      </c>
      <c r="C46" s="26">
        <v>9.84</v>
      </c>
      <c r="D46" s="70">
        <f t="shared" si="1"/>
        <v>2.540650406504065E-2</v>
      </c>
      <c r="E46" s="44"/>
      <c r="F46" s="61">
        <f>$B46 * VLOOKUP(2025, tblCPI[], MATCH(INDEX(tblCPI_Map[CPI Region], MATCH($A46, tblCPI_Map[Census Division and State], 0)), tblCPI[[#Headers],[West]:[National]], 0)+1, FALSE) /VLOOKUP(2024, tblCPI[], MATCH(INDEX(tblCPI_Map[CPI Region], MATCH($A46, tblCPI_Map[Census Division and State], 0)), tblCPI[[#Headers],[West]:[National]], 0)+1, FALSE)</f>
        <v>9.8039930599927256</v>
      </c>
      <c r="G46" s="26">
        <f t="shared" si="3"/>
        <v>9.84</v>
      </c>
      <c r="H46" s="70">
        <f t="shared" si="2"/>
        <v>3.6592418706579495E-3</v>
      </c>
      <c r="J46" s="26"/>
    </row>
    <row r="47" spans="1:14" x14ac:dyDescent="0.25">
      <c r="A47" s="25" t="s">
        <v>223</v>
      </c>
      <c r="B47" s="44">
        <v>8.8000000000000007</v>
      </c>
      <c r="C47" s="26">
        <v>9.5</v>
      </c>
      <c r="D47" s="70">
        <f t="shared" si="1"/>
        <v>7.3684210526315713E-2</v>
      </c>
      <c r="E47" s="44"/>
      <c r="F47" s="61">
        <f>$B47 * VLOOKUP(2025, tblCPI[], MATCH(INDEX(tblCPI_Map[CPI Region], MATCH($A47, tblCPI_Map[Census Division and State], 0)), tblCPI[[#Headers],[West]:[National]], 0)+1, FALSE) /VLOOKUP(2024, tblCPI[], MATCH(INDEX(tblCPI_Map[CPI Region], MATCH($A47, tblCPI_Map[Census Division and State], 0)), tblCPI[[#Headers],[West]:[National]], 0)+1, FALSE)</f>
        <v>8.9963648517138672</v>
      </c>
      <c r="G47" s="26">
        <f t="shared" si="3"/>
        <v>9.5</v>
      </c>
      <c r="H47" s="70">
        <f t="shared" si="2"/>
        <v>5.3014226135382397E-2</v>
      </c>
      <c r="J47" s="26"/>
    </row>
    <row r="48" spans="1:14" x14ac:dyDescent="0.25">
      <c r="A48" s="25" t="s">
        <v>224</v>
      </c>
      <c r="B48" s="44">
        <v>9.09</v>
      </c>
      <c r="C48" s="26">
        <v>9.5</v>
      </c>
      <c r="D48" s="70">
        <f t="shared" si="1"/>
        <v>4.3157894736842117E-2</v>
      </c>
      <c r="E48" s="44"/>
      <c r="F48" s="61">
        <f>$B48 * VLOOKUP(2025, tblCPI[], MATCH(INDEX(tblCPI_Map[CPI Region], MATCH($A48, tblCPI_Map[Census Division and State], 0)), tblCPI[[#Headers],[West]:[National]], 0)+1, FALSE) /VLOOKUP(2024, tblCPI[], MATCH(INDEX(tblCPI_Map[CPI Region], MATCH($A48, tblCPI_Map[Census Division and State], 0)), tblCPI[[#Headers],[West]:[National]], 0)+1, FALSE)</f>
        <v>9.292835966145347</v>
      </c>
      <c r="G48" s="26">
        <f t="shared" si="3"/>
        <v>9.5</v>
      </c>
      <c r="H48" s="70">
        <f t="shared" si="2"/>
        <v>2.1806740405752947E-2</v>
      </c>
      <c r="J48" s="26"/>
    </row>
    <row r="49" spans="1:10" x14ac:dyDescent="0.25">
      <c r="A49" s="25" t="s">
        <v>225</v>
      </c>
      <c r="B49" s="44">
        <v>9.7899999999999991</v>
      </c>
      <c r="C49" s="26">
        <v>10.18</v>
      </c>
      <c r="D49" s="70">
        <f t="shared" si="1"/>
        <v>3.831041257367393E-2</v>
      </c>
      <c r="E49" s="44"/>
      <c r="F49" s="61">
        <f>$B49 * VLOOKUP(2025, tblCPI[], MATCH(INDEX(tblCPI_Map[CPI Region], MATCH($A49, tblCPI_Map[Census Division and State], 0)), tblCPI[[#Headers],[West]:[National]], 0)+1, FALSE) /VLOOKUP(2024, tblCPI[], MATCH(INDEX(tblCPI_Map[CPI Region], MATCH($A49, tblCPI_Map[Census Division and State], 0)), tblCPI[[#Headers],[West]:[National]], 0)+1, FALSE)</f>
        <v>10.008455897531677</v>
      </c>
      <c r="G49" s="26">
        <f t="shared" si="3"/>
        <v>10.18</v>
      </c>
      <c r="H49" s="70">
        <f t="shared" si="2"/>
        <v>1.6851090615748784E-2</v>
      </c>
      <c r="J49" s="26"/>
    </row>
    <row r="50" spans="1:10" x14ac:dyDescent="0.25">
      <c r="A50" s="60" t="s">
        <v>226</v>
      </c>
      <c r="B50" s="44">
        <v>11.23</v>
      </c>
      <c r="C50" s="26">
        <v>11.44</v>
      </c>
      <c r="D50" s="70">
        <f t="shared" si="1"/>
        <v>1.8356643356643276E-2</v>
      </c>
      <c r="E50" s="44"/>
      <c r="F50" s="61">
        <f>$B50 * VLOOKUP(2025, tblCPI[], MATCH(INDEX(tblCPI_Map[CPI Region], MATCH($A50, tblCPI_Map[Census Division and State], 0)), tblCPI[[#Headers],[West]:[National]], 0)+1, FALSE) /VLOOKUP(2024, tblCPI[], MATCH(INDEX(tblCPI_Map[CPI Region], MATCH($A50, tblCPI_Map[Census Division and State], 0)), tblCPI[[#Headers],[West]:[National]], 0)+1, FALSE)</f>
        <v>11.530359368664495</v>
      </c>
      <c r="G50" s="26">
        <f t="shared" si="3"/>
        <v>11.44</v>
      </c>
      <c r="H50" s="70">
        <f t="shared" si="2"/>
        <v>-7.8985462119314405E-3</v>
      </c>
      <c r="J50" s="26"/>
    </row>
    <row r="51" spans="1:10" x14ac:dyDescent="0.25">
      <c r="A51" s="25" t="s">
        <v>227</v>
      </c>
      <c r="B51" s="44">
        <v>12.74</v>
      </c>
      <c r="C51" s="26">
        <v>12.97</v>
      </c>
      <c r="D51" s="70">
        <f t="shared" si="1"/>
        <v>1.7733230531996949E-2</v>
      </c>
      <c r="E51" s="44"/>
      <c r="F51" s="61">
        <f>$B51 * VLOOKUP(2025, tblCPI[], MATCH(INDEX(tblCPI_Map[CPI Region], MATCH($A51, tblCPI_Map[Census Division and State], 0)), tblCPI[[#Headers],[West]:[National]], 0)+1, FALSE) /VLOOKUP(2024, tblCPI[], MATCH(INDEX(tblCPI_Map[CPI Region], MATCH($A51, tblCPI_Map[Census Division and State], 0)), tblCPI[[#Headers],[West]:[National]], 0)+1, FALSE)</f>
        <v>13.080746069170587</v>
      </c>
      <c r="G51" s="26">
        <f t="shared" si="3"/>
        <v>12.97</v>
      </c>
      <c r="H51" s="70">
        <f t="shared" si="2"/>
        <v>-8.5386329352803679E-3</v>
      </c>
      <c r="J51" s="26"/>
    </row>
    <row r="52" spans="1:10" x14ac:dyDescent="0.25">
      <c r="A52" s="25" t="s">
        <v>228</v>
      </c>
      <c r="B52" s="44">
        <v>12.07</v>
      </c>
      <c r="C52" s="26">
        <v>12.77</v>
      </c>
      <c r="D52" s="70">
        <f t="shared" si="1"/>
        <v>5.4815974941268546E-2</v>
      </c>
      <c r="E52" s="44"/>
      <c r="F52" s="61">
        <f>$B52 * VLOOKUP(2025, tblCPI[], MATCH(INDEX(tblCPI_Map[CPI Region], MATCH($A52, tblCPI_Map[Census Division and State], 0)), tblCPI[[#Headers],[West]:[National]], 0)+1, FALSE) /VLOOKUP(2024, tblCPI[], MATCH(INDEX(tblCPI_Map[CPI Region], MATCH($A52, tblCPI_Map[Census Division and State], 0)), tblCPI[[#Headers],[West]:[National]], 0)+1, FALSE)</f>
        <v>12.392826142455961</v>
      </c>
      <c r="G52" s="26">
        <f t="shared" si="3"/>
        <v>12.77</v>
      </c>
      <c r="H52" s="70">
        <f t="shared" si="2"/>
        <v>2.9535932462336604E-2</v>
      </c>
      <c r="J52" s="26"/>
    </row>
    <row r="53" spans="1:10" x14ac:dyDescent="0.25">
      <c r="A53" s="25" t="s">
        <v>229</v>
      </c>
      <c r="B53" s="44">
        <v>9.51</v>
      </c>
      <c r="C53" s="26">
        <v>9.74</v>
      </c>
      <c r="D53" s="70">
        <f t="shared" si="1"/>
        <v>2.3613963039014418E-2</v>
      </c>
      <c r="E53" s="44"/>
      <c r="F53" s="61">
        <f>$B53 * VLOOKUP(2025, tblCPI[], MATCH(INDEX(tblCPI_Map[CPI Region], MATCH($A53, tblCPI_Map[Census Division and State], 0)), tblCPI[[#Headers],[West]:[National]], 0)+1, FALSE) /VLOOKUP(2024, tblCPI[], MATCH(INDEX(tblCPI_Map[CPI Region], MATCH($A53, tblCPI_Map[Census Division and State], 0)), tblCPI[[#Headers],[West]:[National]], 0)+1, FALSE)</f>
        <v>9.7643559747105382</v>
      </c>
      <c r="G53" s="26">
        <f t="shared" si="3"/>
        <v>9.74</v>
      </c>
      <c r="H53" s="70">
        <f t="shared" si="2"/>
        <v>-2.5006134199730967E-3</v>
      </c>
      <c r="J53" s="26"/>
    </row>
    <row r="54" spans="1:10" x14ac:dyDescent="0.25">
      <c r="A54" s="25" t="s">
        <v>230</v>
      </c>
      <c r="B54" s="44">
        <v>10.83</v>
      </c>
      <c r="C54" s="26">
        <v>10.9</v>
      </c>
      <c r="D54" s="70">
        <f t="shared" si="1"/>
        <v>6.4220183486238787E-3</v>
      </c>
      <c r="E54" s="44"/>
      <c r="F54" s="61">
        <f>$B54 * VLOOKUP(2025, tblCPI[], MATCH(INDEX(tblCPI_Map[CPI Region], MATCH($A54, tblCPI_Map[Census Division and State], 0)), tblCPI[[#Headers],[West]:[National]], 0)+1, FALSE) /VLOOKUP(2024, tblCPI[], MATCH(INDEX(tblCPI_Map[CPI Region], MATCH($A54, tblCPI_Map[Census Division and State], 0)), tblCPI[[#Headers],[West]:[National]], 0)+1, FALSE)</f>
        <v>11.119660904954273</v>
      </c>
      <c r="G54" s="26">
        <f t="shared" si="3"/>
        <v>10.9</v>
      </c>
      <c r="H54" s="70">
        <f t="shared" si="2"/>
        <v>-2.0152376601309412E-2</v>
      </c>
      <c r="J54" s="26"/>
    </row>
    <row r="55" spans="1:10" x14ac:dyDescent="0.25">
      <c r="A55" s="25" t="s">
        <v>231</v>
      </c>
      <c r="B55" s="44">
        <v>11.47</v>
      </c>
      <c r="C55" s="26">
        <v>10.31</v>
      </c>
      <c r="D55" s="70">
        <f t="shared" si="1"/>
        <v>-0.11251212415130941</v>
      </c>
      <c r="E55" s="44"/>
      <c r="F55" s="61">
        <f>$B55 * VLOOKUP(2025, tblCPI[], MATCH(INDEX(tblCPI_Map[CPI Region], MATCH($A55, tblCPI_Map[Census Division and State], 0)), tblCPI[[#Headers],[West]:[National]], 0)+1, FALSE) /VLOOKUP(2024, tblCPI[], MATCH(INDEX(tblCPI_Map[CPI Region], MATCH($A55, tblCPI_Map[Census Division and State], 0)), tblCPI[[#Headers],[West]:[National]], 0)+1, FALSE)</f>
        <v>11.77677844689063</v>
      </c>
      <c r="G55" s="26">
        <f t="shared" si="3"/>
        <v>10.31</v>
      </c>
      <c r="H55" s="70">
        <f t="shared" si="2"/>
        <v>-0.14226755061984764</v>
      </c>
      <c r="J55" s="26"/>
    </row>
    <row r="56" spans="1:10" x14ac:dyDescent="0.25">
      <c r="A56" s="25" t="s">
        <v>232</v>
      </c>
      <c r="B56" s="44">
        <v>9.18</v>
      </c>
      <c r="C56" s="26">
        <v>9.56</v>
      </c>
      <c r="D56" s="70">
        <f t="shared" si="1"/>
        <v>3.974895397489548E-2</v>
      </c>
      <c r="E56" s="44"/>
      <c r="F56" s="61">
        <f>$B56 * VLOOKUP(2025, tblCPI[], MATCH(INDEX(tblCPI_Map[CPI Region], MATCH($A56, tblCPI_Map[Census Division and State], 0)), tblCPI[[#Headers],[West]:[National]], 0)+1, FALSE) /VLOOKUP(2024, tblCPI[], MATCH(INDEX(tblCPI_Map[CPI Region], MATCH($A56, tblCPI_Map[Census Division and State], 0)), tblCPI[[#Headers],[West]:[National]], 0)+1, FALSE)</f>
        <v>9.4255297421496049</v>
      </c>
      <c r="G56" s="26">
        <f t="shared" si="3"/>
        <v>9.56</v>
      </c>
      <c r="H56" s="70">
        <f t="shared" si="2"/>
        <v>1.4065926553388657E-2</v>
      </c>
      <c r="J56" s="26"/>
    </row>
    <row r="57" spans="1:10" x14ac:dyDescent="0.25">
      <c r="A57" s="25" t="s">
        <v>233</v>
      </c>
      <c r="B57" s="44">
        <v>9.9700000000000006</v>
      </c>
      <c r="C57" s="26">
        <v>10.67</v>
      </c>
      <c r="D57" s="70">
        <f t="shared" si="1"/>
        <v>6.5604498594189251E-2</v>
      </c>
      <c r="E57" s="44"/>
      <c r="F57" s="61">
        <f>$B57 * VLOOKUP(2025, tblCPI[], MATCH(INDEX(tblCPI_Map[CPI Region], MATCH($A57, tblCPI_Map[Census Division and State], 0)), tblCPI[[#Headers],[West]:[National]], 0)+1, FALSE) /VLOOKUP(2024, tblCPI[], MATCH(INDEX(tblCPI_Map[CPI Region], MATCH($A57, tblCPI_Map[Census Division and State], 0)), tblCPI[[#Headers],[West]:[National]], 0)+1, FALSE)</f>
        <v>10.236659207977295</v>
      </c>
      <c r="G57" s="26">
        <f t="shared" si="3"/>
        <v>10.67</v>
      </c>
      <c r="H57" s="70">
        <f t="shared" si="2"/>
        <v>4.0613007687226296E-2</v>
      </c>
      <c r="J57" s="26"/>
    </row>
    <row r="58" spans="1:10" x14ac:dyDescent="0.25">
      <c r="A58" s="25" t="s">
        <v>234</v>
      </c>
      <c r="B58" s="44">
        <v>9.14</v>
      </c>
      <c r="C58" s="26">
        <v>9.75</v>
      </c>
      <c r="D58" s="70">
        <f t="shared" si="1"/>
        <v>6.2564102564102511E-2</v>
      </c>
      <c r="E58" s="44"/>
      <c r="F58" s="61">
        <f>$B58 * VLOOKUP(2025, tblCPI[], MATCH(INDEX(tblCPI_Map[CPI Region], MATCH($A58, tblCPI_Map[Census Division and State], 0)), tblCPI[[#Headers],[West]:[National]], 0)+1, FALSE) /VLOOKUP(2024, tblCPI[], MATCH(INDEX(tblCPI_Map[CPI Region], MATCH($A58, tblCPI_Map[Census Division and State], 0)), tblCPI[[#Headers],[West]:[National]], 0)+1, FALSE)</f>
        <v>9.3844598957785834</v>
      </c>
      <c r="G58" s="26">
        <f t="shared" si="3"/>
        <v>9.75</v>
      </c>
      <c r="H58" s="70">
        <f t="shared" si="2"/>
        <v>3.7491292740658114E-2</v>
      </c>
      <c r="J58" s="26"/>
    </row>
    <row r="59" spans="1:10" x14ac:dyDescent="0.25">
      <c r="A59" s="60" t="s">
        <v>235</v>
      </c>
      <c r="B59" s="44">
        <v>20.79</v>
      </c>
      <c r="C59" s="26">
        <v>21.22</v>
      </c>
      <c r="D59" s="70">
        <f t="shared" si="1"/>
        <v>2.0263901979264833E-2</v>
      </c>
      <c r="E59" s="44"/>
      <c r="F59" s="61">
        <f>$B59 * VLOOKUP(2025, tblCPI[], MATCH(INDEX(tblCPI_Map[CPI Region], MATCH($A59, tblCPI_Map[Census Division and State], 0)), tblCPI[[#Headers],[West]:[National]], 0)+1, FALSE) /VLOOKUP(2024, tblCPI[], MATCH(INDEX(tblCPI_Map[CPI Region], MATCH($A59, tblCPI_Map[Census Division and State], 0)), tblCPI[[#Headers],[West]:[National]], 0)+1, FALSE)</f>
        <v>21.346052651338809</v>
      </c>
      <c r="G59" s="26">
        <f t="shared" si="3"/>
        <v>21.22</v>
      </c>
      <c r="H59" s="70">
        <f t="shared" si="2"/>
        <v>-5.9402757464095219E-3</v>
      </c>
      <c r="J59" s="26"/>
    </row>
    <row r="60" spans="1:10" x14ac:dyDescent="0.25">
      <c r="A60" s="25" t="s">
        <v>236</v>
      </c>
      <c r="B60" s="44">
        <v>27.04</v>
      </c>
      <c r="C60" s="26">
        <v>27.63</v>
      </c>
      <c r="D60" s="70">
        <f t="shared" si="1"/>
        <v>2.1353601158161414E-2</v>
      </c>
      <c r="E60" s="44"/>
      <c r="F60" s="61">
        <f>$B60 * VLOOKUP(2025, tblCPI[], MATCH(INDEX(tblCPI_Map[CPI Region], MATCH($A60, tblCPI_Map[Census Division and State], 0)), tblCPI[[#Headers],[West]:[National]], 0)+1, FALSE) /VLOOKUP(2024, tblCPI[], MATCH(INDEX(tblCPI_Map[CPI Region], MATCH($A60, tblCPI_Map[Census Division and State], 0)), tblCPI[[#Headers],[West]:[National]], 0)+1, FALSE)</f>
        <v>27.763216146811036</v>
      </c>
      <c r="G60" s="26">
        <f t="shared" si="3"/>
        <v>27.63</v>
      </c>
      <c r="H60" s="70">
        <f t="shared" si="2"/>
        <v>-4.8214312997118024E-3</v>
      </c>
      <c r="J60" s="26"/>
    </row>
    <row r="61" spans="1:10" x14ac:dyDescent="0.25">
      <c r="A61" s="25" t="s">
        <v>237</v>
      </c>
      <c r="B61" s="44">
        <v>11.11</v>
      </c>
      <c r="C61" s="26">
        <v>11.51</v>
      </c>
      <c r="D61" s="70">
        <f t="shared" si="1"/>
        <v>3.475238922675937E-2</v>
      </c>
      <c r="E61" s="44"/>
      <c r="F61" s="61">
        <f>$B61 * VLOOKUP(2025, tblCPI[], MATCH(INDEX(tblCPI_Map[CPI Region], MATCH($A61, tblCPI_Map[Census Division and State], 0)), tblCPI[[#Headers],[West]:[National]], 0)+1, FALSE) /VLOOKUP(2024, tblCPI[], MATCH(INDEX(tblCPI_Map[CPI Region], MATCH($A61, tblCPI_Map[Census Division and State], 0)), tblCPI[[#Headers],[West]:[National]], 0)+1, FALSE)</f>
        <v>11.407149829551427</v>
      </c>
      <c r="G61" s="26">
        <f t="shared" si="3"/>
        <v>11.51</v>
      </c>
      <c r="H61" s="70">
        <f t="shared" si="2"/>
        <v>8.9357228886683491E-3</v>
      </c>
      <c r="J61" s="26"/>
    </row>
    <row r="62" spans="1:10" x14ac:dyDescent="0.25">
      <c r="A62" s="25" t="s">
        <v>238</v>
      </c>
      <c r="B62" s="44">
        <v>10.130000000000001</v>
      </c>
      <c r="C62" s="26">
        <v>11.06</v>
      </c>
      <c r="D62" s="70">
        <f t="shared" si="1"/>
        <v>8.4086799276672661E-2</v>
      </c>
      <c r="E62" s="44"/>
      <c r="F62" s="61">
        <f>$B62 * VLOOKUP(2025, tblCPI[], MATCH(INDEX(tblCPI_Map[CPI Region], MATCH($A62, tblCPI_Map[Census Division and State], 0)), tblCPI[[#Headers],[West]:[National]], 0)+1, FALSE) /VLOOKUP(2024, tblCPI[], MATCH(INDEX(tblCPI_Map[CPI Region], MATCH($A62, tblCPI_Map[Census Division and State], 0)), tblCPI[[#Headers],[West]:[National]], 0)+1, FALSE)</f>
        <v>10.400938593461385</v>
      </c>
      <c r="G62" s="26">
        <f t="shared" si="3"/>
        <v>11.06</v>
      </c>
      <c r="H62" s="70">
        <f t="shared" si="2"/>
        <v>5.9589638927542092E-2</v>
      </c>
      <c r="J62" s="26"/>
    </row>
    <row r="63" spans="1:10" x14ac:dyDescent="0.25">
      <c r="A63" s="60" t="s">
        <v>239</v>
      </c>
      <c r="B63" s="44">
        <v>31.62</v>
      </c>
      <c r="C63" s="26">
        <v>30.64</v>
      </c>
      <c r="D63" s="70">
        <f t="shared" si="1"/>
        <v>-3.1984334203655367E-2</v>
      </c>
      <c r="E63" s="44"/>
      <c r="F63" s="61">
        <f>$B63 * VLOOKUP(2025, tblCPI[], MATCH(INDEX(tblCPI_Map[CPI Region], MATCH($A63, tblCPI_Map[Census Division and State], 0)), tblCPI[[#Headers],[West]:[National]], 0)+1, FALSE) /VLOOKUP(2024, tblCPI[], MATCH(INDEX(tblCPI_Map[CPI Region], MATCH($A63, tblCPI_Map[Census Division and State], 0)), tblCPI[[#Headers],[West]:[National]], 0)+1, FALSE)</f>
        <v>32.465713556293082</v>
      </c>
      <c r="G63" s="26">
        <f t="shared" si="3"/>
        <v>30.64</v>
      </c>
      <c r="H63" s="70">
        <f t="shared" si="2"/>
        <v>-5.9585951576144949E-2</v>
      </c>
      <c r="J63" s="26"/>
    </row>
    <row r="64" spans="1:10" x14ac:dyDescent="0.25">
      <c r="A64" s="25" t="s">
        <v>240</v>
      </c>
      <c r="B64" s="44">
        <v>22.17</v>
      </c>
      <c r="C64" s="26">
        <v>23.05</v>
      </c>
      <c r="D64" s="70">
        <f t="shared" si="1"/>
        <v>3.8177874186550935E-2</v>
      </c>
      <c r="E64" s="44"/>
      <c r="F64" s="61">
        <f>$B64 * VLOOKUP(2025, tblCPI[], MATCH(INDEX(tblCPI_Map[CPI Region], MATCH($A64, tblCPI_Map[Census Division and State], 0)), tblCPI[[#Headers],[West]:[National]], 0)+1, FALSE) /VLOOKUP(2024, tblCPI[], MATCH(INDEX(tblCPI_Map[CPI Region], MATCH($A64, tblCPI_Map[Census Division and State], 0)), tblCPI[[#Headers],[West]:[National]], 0)+1, FALSE)</f>
        <v>22.76296235113908</v>
      </c>
      <c r="G64" s="26">
        <f t="shared" si="3"/>
        <v>23.05</v>
      </c>
      <c r="H64" s="70">
        <f t="shared" si="2"/>
        <v>1.245282641479047E-2</v>
      </c>
      <c r="J64" s="26"/>
    </row>
    <row r="65" spans="1:10" x14ac:dyDescent="0.25">
      <c r="A65" s="25" t="s">
        <v>241</v>
      </c>
      <c r="B65" s="44">
        <v>38</v>
      </c>
      <c r="C65" s="26">
        <v>35.72</v>
      </c>
      <c r="D65" s="70">
        <f t="shared" si="1"/>
        <v>-6.382978723404259E-2</v>
      </c>
      <c r="E65" s="44"/>
      <c r="F65" s="61">
        <f>$B65 * VLOOKUP(2025, tblCPI[], MATCH(INDEX(tblCPI_Map[CPI Region], MATCH($A65, tblCPI_Map[Census Division and State], 0)), tblCPI[[#Headers],[West]:[National]], 0)+1, FALSE) /VLOOKUP(2024, tblCPI[], MATCH(INDEX(tblCPI_Map[CPI Region], MATCH($A65, tblCPI_Map[Census Division and State], 0)), tblCPI[[#Headers],[West]:[National]], 0)+1, FALSE)</f>
        <v>39.016354052471129</v>
      </c>
      <c r="G65" s="26">
        <f t="shared" si="3"/>
        <v>35.72</v>
      </c>
      <c r="H65" s="70">
        <f t="shared" si="2"/>
        <v>-9.2283148165485177E-2</v>
      </c>
      <c r="J65" s="26"/>
    </row>
    <row r="66" spans="1:10" x14ac:dyDescent="0.25">
      <c r="A66" s="60" t="s">
        <v>242</v>
      </c>
      <c r="B66" s="44">
        <v>12.94</v>
      </c>
      <c r="C66" s="26">
        <v>13.63</v>
      </c>
      <c r="D66" s="70">
        <f t="shared" si="1"/>
        <v>5.0623624358033838E-2</v>
      </c>
      <c r="E66" s="44"/>
      <c r="F66" s="61">
        <f>$B66 * VLOOKUP(2025, tblCPI[], MATCH(INDEX(tblCPI_Map[CPI Region], MATCH($A66, tblCPI_Map[Census Division and State], 0)), tblCPI[[#Headers],[West]:[National]], 0)+1, FALSE) /VLOOKUP(2024, tblCPI[], MATCH(INDEX(tblCPI_Map[CPI Region], MATCH($A66, tblCPI_Map[Census Division and State], 0)), tblCPI[[#Headers],[West]:[National]], 0)+1, FALSE)</f>
        <v>13.280486150295353</v>
      </c>
      <c r="G66" s="26">
        <f t="shared" si="3"/>
        <v>13.63</v>
      </c>
      <c r="H66" s="70">
        <f t="shared" si="2"/>
        <v>2.5642982370113566E-2</v>
      </c>
      <c r="J66" s="26"/>
    </row>
    <row r="69" spans="1:10" x14ac:dyDescent="0.25">
      <c r="A69" t="s">
        <v>197</v>
      </c>
      <c r="B69"/>
      <c r="C69" s="28" t="s">
        <v>356</v>
      </c>
      <c r="D69" s="28"/>
    </row>
    <row r="70" spans="1:10" x14ac:dyDescent="0.25">
      <c r="A70"/>
      <c r="B70"/>
      <c r="C70" s="28" t="s">
        <v>442</v>
      </c>
      <c r="D70" s="28"/>
    </row>
    <row r="71" spans="1:10" x14ac:dyDescent="0.25">
      <c r="A71"/>
      <c r="B71"/>
      <c r="C71" s="28"/>
      <c r="D71" s="28"/>
    </row>
    <row r="72" spans="1:10" x14ac:dyDescent="0.25">
      <c r="A72" t="s">
        <v>205</v>
      </c>
      <c r="B72"/>
      <c r="C72" s="28" t="s">
        <v>357</v>
      </c>
      <c r="D72" s="28"/>
    </row>
    <row r="76" spans="1:10" x14ac:dyDescent="0.25">
      <c r="C76" s="28"/>
      <c r="D76" s="2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F504C-F1B4-4936-87F8-35D38A304C0D}">
  <sheetPr>
    <tabColor theme="1" tint="0.499984740745262"/>
  </sheetPr>
  <dimension ref="A1:H68"/>
  <sheetViews>
    <sheetView topLeftCell="B1" workbookViewId="0">
      <selection activeCell="E63" sqref="E63"/>
    </sheetView>
  </sheetViews>
  <sheetFormatPr defaultRowHeight="15" x14ac:dyDescent="0.25"/>
  <cols>
    <col min="1" max="1" width="44.85546875" customWidth="1"/>
    <col min="2" max="2" width="107.42578125" customWidth="1"/>
    <col min="3" max="3" width="27.5703125" customWidth="1"/>
    <col min="5" max="5" width="25.140625" style="30" customWidth="1"/>
  </cols>
  <sheetData>
    <row r="1" spans="1:8" ht="15.75" x14ac:dyDescent="0.25">
      <c r="A1" s="22" t="s">
        <v>17</v>
      </c>
      <c r="B1" s="22" t="s">
        <v>18</v>
      </c>
      <c r="C1" s="22" t="s">
        <v>19</v>
      </c>
      <c r="E1" s="264" t="s">
        <v>20</v>
      </c>
    </row>
    <row r="2" spans="1:8" x14ac:dyDescent="0.25">
      <c r="A2" s="38" t="s">
        <v>21</v>
      </c>
      <c r="B2" s="35" t="s">
        <v>22</v>
      </c>
      <c r="C2" s="35" t="s">
        <v>23</v>
      </c>
      <c r="E2" s="263"/>
    </row>
    <row r="3" spans="1:8" x14ac:dyDescent="0.25">
      <c r="A3" s="39" t="s">
        <v>24</v>
      </c>
      <c r="B3" s="36" t="s">
        <v>25</v>
      </c>
      <c r="C3" s="36" t="s">
        <v>26</v>
      </c>
      <c r="E3" s="263"/>
    </row>
    <row r="4" spans="1:8" x14ac:dyDescent="0.25">
      <c r="A4" s="39" t="s">
        <v>27</v>
      </c>
      <c r="B4" s="36" t="s">
        <v>28</v>
      </c>
      <c r="C4" s="36" t="s">
        <v>26</v>
      </c>
      <c r="E4" s="263"/>
    </row>
    <row r="5" spans="1:8" x14ac:dyDescent="0.25">
      <c r="A5" s="39" t="s">
        <v>29</v>
      </c>
      <c r="B5" s="36" t="s">
        <v>30</v>
      </c>
      <c r="C5" s="36" t="s">
        <v>26</v>
      </c>
      <c r="E5" s="263"/>
    </row>
    <row r="6" spans="1:8" x14ac:dyDescent="0.25">
      <c r="A6" s="64" t="s">
        <v>31</v>
      </c>
      <c r="B6" s="65" t="s">
        <v>32</v>
      </c>
      <c r="C6" s="36" t="s">
        <v>26</v>
      </c>
      <c r="E6" s="263" t="s">
        <v>33</v>
      </c>
    </row>
    <row r="7" spans="1:8" x14ac:dyDescent="0.25">
      <c r="A7" s="64" t="s">
        <v>34</v>
      </c>
      <c r="B7" s="36" t="s">
        <v>35</v>
      </c>
      <c r="C7" s="65" t="s">
        <v>26</v>
      </c>
      <c r="E7" s="263" t="s">
        <v>36</v>
      </c>
    </row>
    <row r="8" spans="1:8" x14ac:dyDescent="0.25">
      <c r="A8" s="64" t="s">
        <v>37</v>
      </c>
      <c r="B8" s="65" t="s">
        <v>38</v>
      </c>
      <c r="C8" s="65" t="s">
        <v>26</v>
      </c>
      <c r="E8" s="263" t="s">
        <v>36</v>
      </c>
    </row>
    <row r="9" spans="1:8" x14ac:dyDescent="0.25">
      <c r="A9" s="39" t="s">
        <v>39</v>
      </c>
      <c r="B9" s="36" t="s">
        <v>40</v>
      </c>
      <c r="C9" s="36" t="s">
        <v>26</v>
      </c>
      <c r="E9" s="263"/>
    </row>
    <row r="10" spans="1:8" x14ac:dyDescent="0.25">
      <c r="A10" s="39" t="s">
        <v>41</v>
      </c>
      <c r="B10" s="36" t="s">
        <v>42</v>
      </c>
      <c r="C10" s="36" t="s">
        <v>26</v>
      </c>
      <c r="E10" s="263"/>
    </row>
    <row r="11" spans="1:8" x14ac:dyDescent="0.25">
      <c r="A11" s="64" t="s">
        <v>43</v>
      </c>
      <c r="B11" s="65" t="s">
        <v>44</v>
      </c>
      <c r="C11" s="36" t="s">
        <v>26</v>
      </c>
      <c r="E11" s="263"/>
    </row>
    <row r="12" spans="1:8" x14ac:dyDescent="0.25">
      <c r="A12" s="64" t="s">
        <v>45</v>
      </c>
      <c r="B12" s="65" t="s">
        <v>46</v>
      </c>
      <c r="C12" s="36" t="s">
        <v>26</v>
      </c>
      <c r="E12" s="263"/>
    </row>
    <row r="13" spans="1:8" x14ac:dyDescent="0.25">
      <c r="A13" s="64" t="s">
        <v>47</v>
      </c>
      <c r="B13" s="65" t="s">
        <v>48</v>
      </c>
      <c r="C13" s="36" t="s">
        <v>26</v>
      </c>
      <c r="E13" s="263"/>
      <c r="H13" s="59"/>
    </row>
    <row r="14" spans="1:8" x14ac:dyDescent="0.25">
      <c r="A14" s="64" t="s">
        <v>49</v>
      </c>
      <c r="B14" s="65" t="s">
        <v>50</v>
      </c>
      <c r="C14" s="36" t="s">
        <v>26</v>
      </c>
      <c r="E14" s="263" t="s">
        <v>36</v>
      </c>
      <c r="H14" s="59"/>
    </row>
    <row r="15" spans="1:8" x14ac:dyDescent="0.25">
      <c r="A15" s="39" t="s">
        <v>51</v>
      </c>
      <c r="B15" s="36" t="s">
        <v>52</v>
      </c>
      <c r="C15" s="36" t="s">
        <v>26</v>
      </c>
      <c r="E15" s="263" t="s">
        <v>33</v>
      </c>
      <c r="H15" s="28"/>
    </row>
    <row r="16" spans="1:8" x14ac:dyDescent="0.25">
      <c r="A16" s="39" t="s">
        <v>53</v>
      </c>
      <c r="B16" s="36" t="s">
        <v>54</v>
      </c>
      <c r="C16" s="36" t="s">
        <v>26</v>
      </c>
      <c r="E16" s="263" t="s">
        <v>33</v>
      </c>
      <c r="H16" s="24"/>
    </row>
    <row r="17" spans="1:8" x14ac:dyDescent="0.25">
      <c r="A17" s="64" t="s">
        <v>55</v>
      </c>
      <c r="B17" s="65" t="s">
        <v>56</v>
      </c>
      <c r="C17" s="65" t="s">
        <v>26</v>
      </c>
      <c r="E17" s="263" t="s">
        <v>36</v>
      </c>
    </row>
    <row r="18" spans="1:8" x14ac:dyDescent="0.25">
      <c r="A18" s="66" t="s">
        <v>57</v>
      </c>
      <c r="B18" s="68" t="s">
        <v>58</v>
      </c>
      <c r="C18" s="68" t="s">
        <v>59</v>
      </c>
      <c r="E18" s="263"/>
    </row>
    <row r="19" spans="1:8" x14ac:dyDescent="0.25">
      <c r="A19" s="66" t="s">
        <v>60</v>
      </c>
      <c r="B19" s="68" t="s">
        <v>61</v>
      </c>
      <c r="C19" s="68" t="s">
        <v>59</v>
      </c>
      <c r="E19" s="263"/>
    </row>
    <row r="20" spans="1:8" x14ac:dyDescent="0.25">
      <c r="A20" s="69" t="s">
        <v>62</v>
      </c>
      <c r="B20" s="67" t="s">
        <v>63</v>
      </c>
      <c r="C20" s="68" t="s">
        <v>59</v>
      </c>
      <c r="E20" s="263"/>
    </row>
    <row r="21" spans="1:8" x14ac:dyDescent="0.25">
      <c r="A21" s="69" t="s">
        <v>64</v>
      </c>
      <c r="B21" s="67" t="s">
        <v>65</v>
      </c>
      <c r="C21" s="68" t="s">
        <v>59</v>
      </c>
      <c r="E21" s="263"/>
    </row>
    <row r="22" spans="1:8" x14ac:dyDescent="0.25">
      <c r="A22" s="66" t="s">
        <v>66</v>
      </c>
      <c r="B22" s="68" t="s">
        <v>67</v>
      </c>
      <c r="C22" s="68" t="s">
        <v>59</v>
      </c>
      <c r="E22" s="263"/>
    </row>
    <row r="23" spans="1:8" x14ac:dyDescent="0.25">
      <c r="A23" s="66" t="s">
        <v>68</v>
      </c>
      <c r="B23" s="68" t="s">
        <v>69</v>
      </c>
      <c r="C23" s="68" t="s">
        <v>59</v>
      </c>
      <c r="E23" s="263"/>
    </row>
    <row r="24" spans="1:8" x14ac:dyDescent="0.25">
      <c r="A24" s="69" t="s">
        <v>70</v>
      </c>
      <c r="B24" s="68" t="s">
        <v>71</v>
      </c>
      <c r="C24" s="68" t="s">
        <v>59</v>
      </c>
      <c r="E24" s="263"/>
      <c r="H24" s="59"/>
    </row>
    <row r="25" spans="1:8" x14ac:dyDescent="0.25">
      <c r="A25" s="69" t="s">
        <v>72</v>
      </c>
      <c r="B25" s="68" t="s">
        <v>73</v>
      </c>
      <c r="C25" s="68" t="s">
        <v>59</v>
      </c>
      <c r="E25" s="263"/>
      <c r="H25" s="28"/>
    </row>
    <row r="26" spans="1:8" x14ac:dyDescent="0.25">
      <c r="A26" s="69" t="s">
        <v>74</v>
      </c>
      <c r="B26" s="67" t="s">
        <v>75</v>
      </c>
      <c r="C26" s="68" t="s">
        <v>59</v>
      </c>
      <c r="E26" s="263"/>
    </row>
    <row r="27" spans="1:8" x14ac:dyDescent="0.25">
      <c r="A27" s="69" t="s">
        <v>76</v>
      </c>
      <c r="B27" s="67" t="s">
        <v>77</v>
      </c>
      <c r="C27" s="68" t="s">
        <v>59</v>
      </c>
      <c r="E27" s="263"/>
    </row>
    <row r="28" spans="1:8" x14ac:dyDescent="0.25">
      <c r="A28" s="115" t="s">
        <v>78</v>
      </c>
      <c r="B28" s="117" t="s">
        <v>79</v>
      </c>
      <c r="C28" s="37" t="s">
        <v>80</v>
      </c>
      <c r="E28" s="263"/>
    </row>
    <row r="29" spans="1:8" x14ac:dyDescent="0.25">
      <c r="A29" s="40" t="s">
        <v>81</v>
      </c>
      <c r="B29" s="37" t="s">
        <v>82</v>
      </c>
      <c r="C29" s="37" t="s">
        <v>80</v>
      </c>
      <c r="E29" s="263"/>
    </row>
    <row r="30" spans="1:8" x14ac:dyDescent="0.25">
      <c r="A30" s="40" t="s">
        <v>83</v>
      </c>
      <c r="B30" s="37" t="s">
        <v>84</v>
      </c>
      <c r="C30" s="37" t="s">
        <v>80</v>
      </c>
      <c r="E30" s="263"/>
    </row>
    <row r="31" spans="1:8" x14ac:dyDescent="0.25">
      <c r="A31" s="115" t="s">
        <v>85</v>
      </c>
      <c r="B31" s="37" t="s">
        <v>86</v>
      </c>
      <c r="C31" s="37" t="s">
        <v>80</v>
      </c>
      <c r="E31" s="263"/>
    </row>
    <row r="32" spans="1:8" x14ac:dyDescent="0.25">
      <c r="A32" s="115" t="s">
        <v>87</v>
      </c>
      <c r="B32" s="117" t="s">
        <v>88</v>
      </c>
      <c r="C32" s="37" t="s">
        <v>80</v>
      </c>
      <c r="E32" s="263"/>
    </row>
    <row r="33" spans="1:8" x14ac:dyDescent="0.25">
      <c r="A33" s="37" t="s">
        <v>89</v>
      </c>
      <c r="B33" s="117" t="s">
        <v>90</v>
      </c>
      <c r="C33" s="37" t="s">
        <v>80</v>
      </c>
      <c r="E33" s="263" t="s">
        <v>33</v>
      </c>
    </row>
    <row r="34" spans="1:8" x14ac:dyDescent="0.25">
      <c r="A34" s="40" t="s">
        <v>91</v>
      </c>
      <c r="B34" s="37" t="s">
        <v>92</v>
      </c>
      <c r="C34" s="37" t="s">
        <v>80</v>
      </c>
      <c r="E34" s="263"/>
    </row>
    <row r="35" spans="1:8" x14ac:dyDescent="0.25">
      <c r="A35" s="40" t="s">
        <v>93</v>
      </c>
      <c r="B35" s="37" t="s">
        <v>94</v>
      </c>
      <c r="C35" s="37" t="s">
        <v>80</v>
      </c>
      <c r="E35" s="263"/>
    </row>
    <row r="36" spans="1:8" x14ac:dyDescent="0.25">
      <c r="A36" s="40" t="s">
        <v>95</v>
      </c>
      <c r="B36" s="37" t="s">
        <v>96</v>
      </c>
      <c r="C36" s="37" t="s">
        <v>80</v>
      </c>
      <c r="E36" s="263" t="s">
        <v>33</v>
      </c>
      <c r="F36" s="59"/>
    </row>
    <row r="37" spans="1:8" x14ac:dyDescent="0.25">
      <c r="A37" s="40" t="s">
        <v>97</v>
      </c>
      <c r="B37" s="117" t="s">
        <v>98</v>
      </c>
      <c r="C37" s="37" t="s">
        <v>80</v>
      </c>
      <c r="E37" s="263"/>
      <c r="F37" s="28"/>
      <c r="H37" s="59"/>
    </row>
    <row r="38" spans="1:8" x14ac:dyDescent="0.25">
      <c r="A38" s="115" t="s">
        <v>99</v>
      </c>
      <c r="B38" s="117" t="s">
        <v>100</v>
      </c>
      <c r="C38" s="37" t="s">
        <v>80</v>
      </c>
      <c r="E38" s="263"/>
      <c r="F38" s="28"/>
      <c r="H38" s="28"/>
    </row>
    <row r="39" spans="1:8" x14ac:dyDescent="0.25">
      <c r="A39" s="115" t="s">
        <v>101</v>
      </c>
      <c r="B39" s="117" t="s">
        <v>102</v>
      </c>
      <c r="C39" s="37" t="s">
        <v>80</v>
      </c>
      <c r="E39" s="263"/>
    </row>
    <row r="40" spans="1:8" x14ac:dyDescent="0.25">
      <c r="A40" s="40" t="s">
        <v>103</v>
      </c>
      <c r="B40" s="117" t="s">
        <v>104</v>
      </c>
      <c r="C40" s="37" t="s">
        <v>80</v>
      </c>
      <c r="E40" s="263"/>
    </row>
    <row r="41" spans="1:8" x14ac:dyDescent="0.25">
      <c r="A41" s="115" t="s">
        <v>105</v>
      </c>
      <c r="B41" s="117" t="s">
        <v>106</v>
      </c>
      <c r="C41" s="37" t="s">
        <v>80</v>
      </c>
      <c r="E41" s="263" t="s">
        <v>36</v>
      </c>
    </row>
    <row r="42" spans="1:8" x14ac:dyDescent="0.25">
      <c r="A42" s="40" t="s">
        <v>107</v>
      </c>
      <c r="B42" s="117" t="s">
        <v>108</v>
      </c>
      <c r="C42" s="37" t="s">
        <v>80</v>
      </c>
      <c r="E42" s="263"/>
    </row>
    <row r="43" spans="1:8" x14ac:dyDescent="0.25">
      <c r="A43" s="115" t="s">
        <v>109</v>
      </c>
      <c r="B43" s="117" t="s">
        <v>110</v>
      </c>
      <c r="C43" s="37" t="s">
        <v>80</v>
      </c>
      <c r="E43" s="263"/>
    </row>
    <row r="44" spans="1:8" x14ac:dyDescent="0.25">
      <c r="A44" s="40" t="s">
        <v>111</v>
      </c>
      <c r="B44" s="37" t="s">
        <v>112</v>
      </c>
      <c r="C44" s="37" t="s">
        <v>80</v>
      </c>
      <c r="E44" s="263"/>
      <c r="G44" s="59"/>
    </row>
    <row r="45" spans="1:8" x14ac:dyDescent="0.25">
      <c r="A45" s="40" t="s">
        <v>113</v>
      </c>
      <c r="B45" s="37" t="s">
        <v>114</v>
      </c>
      <c r="C45" s="37" t="s">
        <v>80</v>
      </c>
      <c r="E45" s="263"/>
    </row>
    <row r="46" spans="1:8" x14ac:dyDescent="0.25">
      <c r="A46" s="40" t="s">
        <v>115</v>
      </c>
      <c r="B46" s="37" t="s">
        <v>116</v>
      </c>
      <c r="C46" s="37" t="s">
        <v>80</v>
      </c>
      <c r="E46" s="263"/>
      <c r="G46" s="28"/>
    </row>
    <row r="47" spans="1:8" x14ac:dyDescent="0.25">
      <c r="A47" s="41" t="s">
        <v>117</v>
      </c>
      <c r="B47" s="42" t="s">
        <v>118</v>
      </c>
      <c r="C47" s="42" t="s">
        <v>119</v>
      </c>
      <c r="E47" s="263"/>
    </row>
    <row r="48" spans="1:8" x14ac:dyDescent="0.25">
      <c r="A48" s="41" t="s">
        <v>120</v>
      </c>
      <c r="B48" s="42" t="s">
        <v>121</v>
      </c>
      <c r="C48" s="42" t="s">
        <v>119</v>
      </c>
      <c r="E48" s="263"/>
    </row>
    <row r="49" spans="1:7" x14ac:dyDescent="0.25">
      <c r="A49" s="86" t="s">
        <v>122</v>
      </c>
      <c r="B49" s="87" t="s">
        <v>123</v>
      </c>
      <c r="C49" s="42" t="s">
        <v>119</v>
      </c>
      <c r="E49" s="263"/>
    </row>
    <row r="50" spans="1:7" x14ac:dyDescent="0.25">
      <c r="A50" s="41" t="s">
        <v>124</v>
      </c>
      <c r="B50" s="42" t="s">
        <v>125</v>
      </c>
      <c r="C50" s="42" t="s">
        <v>119</v>
      </c>
      <c r="E50" s="263"/>
    </row>
    <row r="51" spans="1:7" x14ac:dyDescent="0.25">
      <c r="A51" s="41" t="s">
        <v>126</v>
      </c>
      <c r="B51" s="42" t="s">
        <v>127</v>
      </c>
      <c r="C51" s="42" t="s">
        <v>119</v>
      </c>
      <c r="E51" s="263"/>
    </row>
    <row r="52" spans="1:7" x14ac:dyDescent="0.25">
      <c r="A52" s="41" t="s">
        <v>128</v>
      </c>
      <c r="B52" s="42" t="s">
        <v>129</v>
      </c>
      <c r="C52" s="42" t="s">
        <v>119</v>
      </c>
      <c r="E52" s="263"/>
    </row>
    <row r="53" spans="1:7" x14ac:dyDescent="0.25">
      <c r="A53" s="41" t="s">
        <v>130</v>
      </c>
      <c r="B53" s="42" t="s">
        <v>131</v>
      </c>
      <c r="C53" s="42" t="s">
        <v>119</v>
      </c>
      <c r="E53" s="263"/>
    </row>
    <row r="54" spans="1:7" x14ac:dyDescent="0.25">
      <c r="A54" s="41" t="s">
        <v>132</v>
      </c>
      <c r="B54" s="42" t="s">
        <v>133</v>
      </c>
      <c r="C54" s="42" t="s">
        <v>119</v>
      </c>
      <c r="E54" s="263" t="s">
        <v>33</v>
      </c>
    </row>
    <row r="55" spans="1:7" x14ac:dyDescent="0.25">
      <c r="A55" s="41" t="s">
        <v>134</v>
      </c>
      <c r="B55" s="42" t="s">
        <v>135</v>
      </c>
      <c r="C55" s="42" t="s">
        <v>119</v>
      </c>
      <c r="E55" s="263" t="s">
        <v>36</v>
      </c>
      <c r="G55" s="28"/>
    </row>
    <row r="56" spans="1:7" x14ac:dyDescent="0.25">
      <c r="A56" s="41" t="s">
        <v>136</v>
      </c>
      <c r="B56" s="42" t="s">
        <v>137</v>
      </c>
      <c r="C56" s="42" t="s">
        <v>119</v>
      </c>
      <c r="E56" s="263" t="s">
        <v>33</v>
      </c>
      <c r="G56" s="28"/>
    </row>
    <row r="57" spans="1:7" x14ac:dyDescent="0.25">
      <c r="A57" s="120" t="s">
        <v>138</v>
      </c>
      <c r="B57" s="121" t="s">
        <v>139</v>
      </c>
      <c r="C57" s="121" t="s">
        <v>140</v>
      </c>
      <c r="E57" s="263" t="s">
        <v>33</v>
      </c>
    </row>
    <row r="58" spans="1:7" x14ac:dyDescent="0.25">
      <c r="A58" s="120" t="s">
        <v>141</v>
      </c>
      <c r="B58" s="121" t="s">
        <v>142</v>
      </c>
      <c r="C58" s="121" t="s">
        <v>140</v>
      </c>
      <c r="E58" s="263"/>
    </row>
    <row r="59" spans="1:7" x14ac:dyDescent="0.25">
      <c r="A59" s="120" t="s">
        <v>143</v>
      </c>
      <c r="B59" s="121" t="s">
        <v>144</v>
      </c>
      <c r="C59" s="121" t="s">
        <v>140</v>
      </c>
      <c r="E59" s="263"/>
    </row>
    <row r="60" spans="1:7" x14ac:dyDescent="0.25">
      <c r="A60" s="120" t="s">
        <v>145</v>
      </c>
      <c r="B60" s="121" t="s">
        <v>146</v>
      </c>
      <c r="C60" s="121" t="s">
        <v>140</v>
      </c>
      <c r="E60" s="263"/>
    </row>
    <row r="61" spans="1:7" x14ac:dyDescent="0.25">
      <c r="A61" s="176" t="s">
        <v>147</v>
      </c>
      <c r="B61" s="177" t="s">
        <v>148</v>
      </c>
      <c r="C61" s="121" t="s">
        <v>140</v>
      </c>
      <c r="E61" s="263"/>
    </row>
    <row r="62" spans="1:7" x14ac:dyDescent="0.25">
      <c r="A62" s="176" t="s">
        <v>149</v>
      </c>
      <c r="B62" s="177" t="s">
        <v>150</v>
      </c>
      <c r="C62" s="121" t="s">
        <v>140</v>
      </c>
      <c r="E62" s="263"/>
    </row>
    <row r="63" spans="1:7" x14ac:dyDescent="0.25">
      <c r="A63" s="176" t="s">
        <v>151</v>
      </c>
      <c r="B63" s="177" t="s">
        <v>152</v>
      </c>
      <c r="C63" s="121" t="s">
        <v>140</v>
      </c>
      <c r="E63" s="263" t="s">
        <v>36</v>
      </c>
    </row>
    <row r="64" spans="1:7" x14ac:dyDescent="0.25">
      <c r="A64" s="176" t="s">
        <v>153</v>
      </c>
      <c r="B64" s="177" t="s">
        <v>154</v>
      </c>
      <c r="C64" s="121" t="s">
        <v>140</v>
      </c>
      <c r="E64" s="263" t="s">
        <v>36</v>
      </c>
    </row>
    <row r="65" spans="1:5" x14ac:dyDescent="0.25">
      <c r="A65" s="176" t="s">
        <v>155</v>
      </c>
      <c r="B65" s="177" t="s">
        <v>156</v>
      </c>
      <c r="C65" s="121" t="s">
        <v>140</v>
      </c>
      <c r="E65" s="263" t="s">
        <v>36</v>
      </c>
    </row>
    <row r="66" spans="1:5" x14ac:dyDescent="0.25">
      <c r="A66" s="59"/>
      <c r="B66" s="28"/>
    </row>
    <row r="67" spans="1:5" x14ac:dyDescent="0.25">
      <c r="A67" s="24"/>
      <c r="B67" s="24"/>
    </row>
    <row r="68" spans="1:5" x14ac:dyDescent="0.25">
      <c r="A68" s="24"/>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D767A-4D6A-41A4-A082-149BD58FF37A}">
  <sheetPr>
    <tabColor theme="7" tint="0.59999389629810485"/>
  </sheetPr>
  <dimension ref="A1:M76"/>
  <sheetViews>
    <sheetView workbookViewId="0">
      <selection activeCell="A4" sqref="A4"/>
    </sheetView>
  </sheetViews>
  <sheetFormatPr defaultRowHeight="15" x14ac:dyDescent="0.25"/>
  <cols>
    <col min="1" max="1" width="29" style="25" customWidth="1"/>
    <col min="2" max="3" width="25.42578125" style="25" customWidth="1"/>
    <col min="4" max="4" width="10.85546875" style="25" customWidth="1"/>
    <col min="5" max="5" width="5.5703125" style="25" customWidth="1"/>
    <col min="6" max="6" width="6.140625" style="25" customWidth="1"/>
    <col min="7" max="8" width="25.42578125" customWidth="1"/>
    <col min="9" max="9" width="11.5703125" customWidth="1"/>
  </cols>
  <sheetData>
    <row r="1" spans="1:13" x14ac:dyDescent="0.25">
      <c r="A1" s="59" t="s">
        <v>60</v>
      </c>
      <c r="B1" s="59"/>
    </row>
    <row r="2" spans="1:13" x14ac:dyDescent="0.25">
      <c r="A2" s="28" t="s">
        <v>61</v>
      </c>
      <c r="B2" s="28"/>
    </row>
    <row r="4" spans="1:13" ht="33.75" customHeight="1" x14ac:dyDescent="0.25">
      <c r="A4" s="43" t="s">
        <v>165</v>
      </c>
      <c r="B4" s="43" t="s">
        <v>443</v>
      </c>
      <c r="C4" s="43" t="s">
        <v>444</v>
      </c>
      <c r="D4" s="43" t="s">
        <v>440</v>
      </c>
      <c r="E4" s="43"/>
      <c r="F4" s="43"/>
      <c r="G4" s="43" t="s">
        <v>445</v>
      </c>
      <c r="H4" s="43" t="s">
        <v>446</v>
      </c>
      <c r="I4" s="43" t="s">
        <v>441</v>
      </c>
      <c r="J4" s="54"/>
      <c r="K4" s="54"/>
      <c r="L4" s="54"/>
      <c r="M4" s="54"/>
    </row>
    <row r="5" spans="1:13" ht="16.5" customHeight="1" x14ac:dyDescent="0.25">
      <c r="A5" s="60" t="s">
        <v>167</v>
      </c>
      <c r="B5" s="44">
        <v>27.68</v>
      </c>
      <c r="C5" s="26">
        <v>28.91</v>
      </c>
      <c r="D5" s="70">
        <f>(C5-B5)/C5</f>
        <v>4.2545831892078882E-2</v>
      </c>
      <c r="E5" s="70"/>
      <c r="F5" s="26"/>
      <c r="G5" s="119">
        <f>$B5 * VLOOKUP(2025, tblCPI[], MATCH(INDEX(tblCPI_Map[CPI Region], MATCH($A5, tblCPI_Map[Census Division and State], 0)), tblCPI[[#Headers],[West]:[National]], 0)+1, FALSE) /VLOOKUP(2024, tblCPI[], MATCH(INDEX(tblCPI_Map[CPI Region], MATCH($A5, tblCPI_Map[Census Division and State], 0)), tblCPI[[#Headers],[West]:[National]], 0)+1, FALSE)</f>
        <v>28.552132849563961</v>
      </c>
      <c r="H5" s="76">
        <f t="shared" ref="H5:H36" si="0">C5</f>
        <v>28.91</v>
      </c>
      <c r="I5" s="70">
        <f>(H5-G5)/H5</f>
        <v>1.2378663107438233E-2</v>
      </c>
    </row>
    <row r="6" spans="1:13" x14ac:dyDescent="0.25">
      <c r="A6" s="25" t="s">
        <v>168</v>
      </c>
      <c r="B6" s="44">
        <v>28.75</v>
      </c>
      <c r="C6" s="26">
        <v>29.38</v>
      </c>
      <c r="D6" s="70">
        <f t="shared" ref="D6:D66" si="1">(C6-B6)/C6</f>
        <v>2.1443158611300171E-2</v>
      </c>
      <c r="E6" s="70"/>
      <c r="F6" s="26"/>
      <c r="G6" s="119">
        <f>$B6 * VLOOKUP(2025, tblCPI[], MATCH(INDEX(tblCPI_Map[CPI Region], MATCH($A6, tblCPI_Map[Census Division and State], 0)), tblCPI[[#Headers],[West]:[National]], 0)+1, FALSE) /VLOOKUP(2024, tblCPI[], MATCH(INDEX(tblCPI_Map[CPI Region], MATCH($A6, tblCPI_Map[Census Division and State], 0)), tblCPI[[#Headers],[West]:[National]], 0)+1, FALSE)</f>
        <v>29.655846077491468</v>
      </c>
      <c r="H6" s="76">
        <f t="shared" si="0"/>
        <v>29.38</v>
      </c>
      <c r="I6" s="70">
        <f t="shared" ref="I6:I66" si="2">(H6-G6)/H6</f>
        <v>-9.388906653896148E-3</v>
      </c>
    </row>
    <row r="7" spans="1:13" x14ac:dyDescent="0.25">
      <c r="A7" s="25" t="s">
        <v>169</v>
      </c>
      <c r="B7" s="44">
        <v>24.29</v>
      </c>
      <c r="C7" s="26">
        <v>27.78</v>
      </c>
      <c r="D7" s="70">
        <f t="shared" si="1"/>
        <v>0.12562994960403173</v>
      </c>
      <c r="E7" s="70"/>
      <c r="F7" s="26"/>
      <c r="G7" s="119">
        <f>$B7 * VLOOKUP(2025, tblCPI[], MATCH(INDEX(tblCPI_Map[CPI Region], MATCH($A7, tblCPI_Map[Census Division and State], 0)), tblCPI[[#Headers],[West]:[National]], 0)+1, FALSE) /VLOOKUP(2024, tblCPI[], MATCH(INDEX(tblCPI_Map[CPI Region], MATCH($A7, tblCPI_Map[Census Division and State], 0)), tblCPI[[#Headers],[West]:[National]], 0)+1, FALSE)</f>
        <v>25.055321781644096</v>
      </c>
      <c r="H7" s="76">
        <f t="shared" si="0"/>
        <v>27.78</v>
      </c>
      <c r="I7" s="70">
        <f t="shared" si="2"/>
        <v>9.8080569415259347E-2</v>
      </c>
    </row>
    <row r="8" spans="1:13" x14ac:dyDescent="0.25">
      <c r="A8" s="25" t="s">
        <v>170</v>
      </c>
      <c r="B8" s="44">
        <v>29.35</v>
      </c>
      <c r="C8" s="26">
        <v>30.48</v>
      </c>
      <c r="D8" s="70">
        <f t="shared" si="1"/>
        <v>3.707349081364826E-2</v>
      </c>
      <c r="E8" s="70"/>
      <c r="F8" s="26"/>
      <c r="G8" s="119">
        <f>$B8 * VLOOKUP(2025, tblCPI[], MATCH(INDEX(tblCPI_Map[CPI Region], MATCH($A8, tblCPI_Map[Census Division and State], 0)), tblCPI[[#Headers],[West]:[National]], 0)+1, FALSE) /VLOOKUP(2024, tblCPI[], MATCH(INDEX(tblCPI_Map[CPI Region], MATCH($A8, tblCPI_Map[Census Division and State], 0)), tblCPI[[#Headers],[West]:[National]], 0)+1, FALSE)</f>
        <v>30.274750691282595</v>
      </c>
      <c r="H8" s="76">
        <f t="shared" si="0"/>
        <v>30.48</v>
      </c>
      <c r="I8" s="70">
        <f t="shared" si="2"/>
        <v>6.733901204639293E-3</v>
      </c>
    </row>
    <row r="9" spans="1:13" x14ac:dyDescent="0.25">
      <c r="A9" s="25" t="s">
        <v>171</v>
      </c>
      <c r="B9" s="44">
        <v>23.4</v>
      </c>
      <c r="C9" s="26">
        <v>24.56</v>
      </c>
      <c r="D9" s="70">
        <f t="shared" si="1"/>
        <v>4.7231270358306196E-2</v>
      </c>
      <c r="E9" s="70"/>
      <c r="F9" s="26"/>
      <c r="G9" s="119">
        <f>$B9 * VLOOKUP(2025, tblCPI[], MATCH(INDEX(tblCPI_Map[CPI Region], MATCH($A9, tblCPI_Map[Census Division and State], 0)), tblCPI[[#Headers],[West]:[National]], 0)+1, FALSE) /VLOOKUP(2024, tblCPI[], MATCH(INDEX(tblCPI_Map[CPI Region], MATCH($A9, tblCPI_Map[Census Division and State], 0)), tblCPI[[#Headers],[West]:[National]], 0)+1, FALSE)</f>
        <v>24.137279937853926</v>
      </c>
      <c r="H9" s="76">
        <f t="shared" si="0"/>
        <v>24.56</v>
      </c>
      <c r="I9" s="70">
        <f t="shared" si="2"/>
        <v>1.7211728914742392E-2</v>
      </c>
    </row>
    <row r="10" spans="1:13" x14ac:dyDescent="0.25">
      <c r="A10" s="25" t="s">
        <v>172</v>
      </c>
      <c r="B10" s="44">
        <v>28.65</v>
      </c>
      <c r="C10" s="26">
        <v>29.46</v>
      </c>
      <c r="D10" s="70">
        <f t="shared" si="1"/>
        <v>2.7494908350305575E-2</v>
      </c>
      <c r="E10" s="70"/>
      <c r="F10" s="26"/>
      <c r="G10" s="119">
        <f>$B10 * VLOOKUP(2025, tblCPI[], MATCH(INDEX(tblCPI_Map[CPI Region], MATCH($A10, tblCPI_Map[Census Division and State], 0)), tblCPI[[#Headers],[West]:[National]], 0)+1, FALSE) /VLOOKUP(2024, tblCPI[], MATCH(INDEX(tblCPI_Map[CPI Region], MATCH($A10, tblCPI_Map[Census Division and State], 0)), tblCPI[[#Headers],[West]:[National]], 0)+1, FALSE)</f>
        <v>29.552695308526278</v>
      </c>
      <c r="H10" s="76">
        <f t="shared" si="0"/>
        <v>29.46</v>
      </c>
      <c r="I10" s="70">
        <f t="shared" si="2"/>
        <v>-3.1464802622633192E-3</v>
      </c>
    </row>
    <row r="11" spans="1:13" x14ac:dyDescent="0.25">
      <c r="A11" s="25" t="s">
        <v>173</v>
      </c>
      <c r="B11" s="44">
        <v>21.9</v>
      </c>
      <c r="C11" s="26">
        <v>22.92</v>
      </c>
      <c r="D11" s="70">
        <f t="shared" si="1"/>
        <v>4.4502617801047251E-2</v>
      </c>
      <c r="E11" s="70"/>
      <c r="F11" s="26"/>
      <c r="G11" s="119">
        <f>$B11 * VLOOKUP(2025, tblCPI[], MATCH(INDEX(tblCPI_Map[CPI Region], MATCH($A11, tblCPI_Map[Census Division and State], 0)), tblCPI[[#Headers],[West]:[National]], 0)+1, FALSE) /VLOOKUP(2024, tblCPI[], MATCH(INDEX(tblCPI_Map[CPI Region], MATCH($A11, tblCPI_Map[Census Division and State], 0)), tblCPI[[#Headers],[West]:[National]], 0)+1, FALSE)</f>
        <v>22.59001840337611</v>
      </c>
      <c r="H11" s="76">
        <f t="shared" si="0"/>
        <v>22.92</v>
      </c>
      <c r="I11" s="70">
        <f t="shared" si="2"/>
        <v>1.4397102819541522E-2</v>
      </c>
    </row>
    <row r="12" spans="1:13" x14ac:dyDescent="0.25">
      <c r="A12" s="60" t="s">
        <v>174</v>
      </c>
      <c r="B12" s="44">
        <v>20.63</v>
      </c>
      <c r="C12" s="26">
        <v>22.7</v>
      </c>
      <c r="D12" s="70">
        <f t="shared" si="1"/>
        <v>9.1189427312775351E-2</v>
      </c>
      <c r="E12" s="70"/>
      <c r="F12" s="26"/>
      <c r="G12" s="119">
        <f>$B12 * VLOOKUP(2025, tblCPI[], MATCH(INDEX(tblCPI_Map[CPI Region], MATCH($A12, tblCPI_Map[Census Division and State], 0)), tblCPI[[#Headers],[West]:[National]], 0)+1, FALSE) /VLOOKUP(2024, tblCPI[], MATCH(INDEX(tblCPI_Map[CPI Region], MATCH($A12, tblCPI_Map[Census Division and State], 0)), tblCPI[[#Headers],[West]:[National]], 0)+1, FALSE)</f>
        <v>21.280003637518224</v>
      </c>
      <c r="H12" s="76">
        <f t="shared" si="0"/>
        <v>22.7</v>
      </c>
      <c r="I12" s="70">
        <f t="shared" si="2"/>
        <v>6.255490583620156E-2</v>
      </c>
    </row>
    <row r="13" spans="1:13" x14ac:dyDescent="0.25">
      <c r="A13" s="25" t="s">
        <v>175</v>
      </c>
      <c r="B13" s="44">
        <v>19.34</v>
      </c>
      <c r="C13" s="26">
        <v>22.63</v>
      </c>
      <c r="D13" s="70">
        <f t="shared" si="1"/>
        <v>0.14538223596995137</v>
      </c>
      <c r="E13" s="70"/>
      <c r="F13" s="26"/>
      <c r="G13" s="119">
        <f>$B13 * VLOOKUP(2025, tblCPI[], MATCH(INDEX(tblCPI_Map[CPI Region], MATCH($A13, tblCPI_Map[Census Division and State], 0)), tblCPI[[#Headers],[West]:[National]], 0)+1, FALSE) /VLOOKUP(2024, tblCPI[], MATCH(INDEX(tblCPI_Map[CPI Region], MATCH($A13, tblCPI_Map[Census Division and State], 0)), tblCPI[[#Headers],[West]:[National]], 0)+1, FALSE)</f>
        <v>19.949358717867302</v>
      </c>
      <c r="H13" s="76">
        <f t="shared" si="0"/>
        <v>22.63</v>
      </c>
      <c r="I13" s="70">
        <f t="shared" si="2"/>
        <v>0.11845520468991151</v>
      </c>
    </row>
    <row r="14" spans="1:13" x14ac:dyDescent="0.25">
      <c r="A14" s="25" t="s">
        <v>176</v>
      </c>
      <c r="B14" s="44">
        <v>24.43</v>
      </c>
      <c r="C14" s="26">
        <v>26.39</v>
      </c>
      <c r="D14" s="70">
        <f t="shared" si="1"/>
        <v>7.4270557029177744E-2</v>
      </c>
      <c r="E14" s="70"/>
      <c r="F14" s="26"/>
      <c r="G14" s="119">
        <f>$B14 * VLOOKUP(2025, tblCPI[], MATCH(INDEX(tblCPI_Map[CPI Region], MATCH($A14, tblCPI_Map[Census Division and State], 0)), tblCPI[[#Headers],[West]:[National]], 0)+1, FALSE) /VLOOKUP(2024, tblCPI[], MATCH(INDEX(tblCPI_Map[CPI Region], MATCH($A14, tblCPI_Map[Census Division and State], 0)), tblCPI[[#Headers],[West]:[National]], 0)+1, FALSE)</f>
        <v>25.199732858195361</v>
      </c>
      <c r="H14" s="76">
        <f t="shared" si="0"/>
        <v>26.39</v>
      </c>
      <c r="I14" s="70">
        <f t="shared" si="2"/>
        <v>4.5102961038447881E-2</v>
      </c>
    </row>
    <row r="15" spans="1:13" x14ac:dyDescent="0.25">
      <c r="A15" s="25" t="s">
        <v>177</v>
      </c>
      <c r="B15" s="44">
        <v>17.77</v>
      </c>
      <c r="C15" s="26">
        <v>19.3</v>
      </c>
      <c r="D15" s="70">
        <f t="shared" si="1"/>
        <v>7.9274611398963787E-2</v>
      </c>
      <c r="E15" s="70"/>
      <c r="F15" s="26"/>
      <c r="G15" s="119">
        <f>$B15 * VLOOKUP(2025, tblCPI[], MATCH(INDEX(tblCPI_Map[CPI Region], MATCH($A15, tblCPI_Map[Census Division and State], 0)), tblCPI[[#Headers],[West]:[National]], 0)+1, FALSE) /VLOOKUP(2024, tblCPI[], MATCH(INDEX(tblCPI_Map[CPI Region], MATCH($A15, tblCPI_Map[Census Division and State], 0)), tblCPI[[#Headers],[West]:[National]], 0)+1, FALSE)</f>
        <v>18.329891645113857</v>
      </c>
      <c r="H15" s="76">
        <f t="shared" si="0"/>
        <v>19.3</v>
      </c>
      <c r="I15" s="70">
        <f t="shared" si="2"/>
        <v>5.0264681600318308E-2</v>
      </c>
    </row>
    <row r="16" spans="1:13" x14ac:dyDescent="0.25">
      <c r="A16" s="60" t="s">
        <v>178</v>
      </c>
      <c r="B16" s="44">
        <v>16.48</v>
      </c>
      <c r="C16" s="26">
        <v>17.7</v>
      </c>
      <c r="D16" s="70">
        <f t="shared" si="1"/>
        <v>6.8926553672316329E-2</v>
      </c>
      <c r="E16" s="70"/>
      <c r="F16" s="26"/>
      <c r="G16" s="119">
        <f>$B16 * VLOOKUP(2025, tblCPI[], MATCH(INDEX(tblCPI_Map[CPI Region], MATCH($A16, tblCPI_Map[Census Division and State], 0)), tblCPI[[#Headers],[West]:[National]], 0)+1, FALSE) /VLOOKUP(2024, tblCPI[], MATCH(INDEX(tblCPI_Map[CPI Region], MATCH($A16, tblCPI_Map[Census Division and State], 0)), tblCPI[[#Headers],[West]:[National]], 0)+1, FALSE)</f>
        <v>16.937616971450218</v>
      </c>
      <c r="H16" s="76">
        <f t="shared" si="0"/>
        <v>17.7</v>
      </c>
      <c r="I16" s="70">
        <f t="shared" si="2"/>
        <v>4.3072487488688194E-2</v>
      </c>
    </row>
    <row r="17" spans="1:9" x14ac:dyDescent="0.25">
      <c r="A17" s="25" t="s">
        <v>179</v>
      </c>
      <c r="B17" s="44">
        <v>15.87</v>
      </c>
      <c r="C17" s="26">
        <v>17.690000000000001</v>
      </c>
      <c r="D17" s="70">
        <f t="shared" si="1"/>
        <v>0.10288298473713973</v>
      </c>
      <c r="E17" s="70"/>
      <c r="F17" s="26"/>
      <c r="G17" s="119">
        <f>$B17 * VLOOKUP(2025, tblCPI[], MATCH(INDEX(tblCPI_Map[CPI Region], MATCH($A17, tblCPI_Map[Census Division and State], 0)), tblCPI[[#Headers],[West]:[National]], 0)+1, FALSE) /VLOOKUP(2024, tblCPI[], MATCH(INDEX(tblCPI_Map[CPI Region], MATCH($A17, tblCPI_Map[Census Division and State], 0)), tblCPI[[#Headers],[West]:[National]], 0)+1, FALSE)</f>
        <v>16.310678479181732</v>
      </c>
      <c r="H17" s="76">
        <f t="shared" si="0"/>
        <v>17.690000000000001</v>
      </c>
      <c r="I17" s="70">
        <f t="shared" si="2"/>
        <v>7.7971821414260567E-2</v>
      </c>
    </row>
    <row r="18" spans="1:9" x14ac:dyDescent="0.25">
      <c r="A18" s="25" t="s">
        <v>180</v>
      </c>
      <c r="B18" s="44">
        <v>14.77</v>
      </c>
      <c r="C18" s="26">
        <v>16.23</v>
      </c>
      <c r="D18" s="70">
        <f t="shared" si="1"/>
        <v>8.9956869993838617E-2</v>
      </c>
      <c r="E18" s="70"/>
      <c r="F18" s="26"/>
      <c r="G18" s="119">
        <f>$B18 * VLOOKUP(2025, tblCPI[], MATCH(INDEX(tblCPI_Map[CPI Region], MATCH($A18, tblCPI_Map[Census Division and State], 0)), tblCPI[[#Headers],[West]:[National]], 0)+1, FALSE) /VLOOKUP(2024, tblCPI[], MATCH(INDEX(tblCPI_Map[CPI Region], MATCH($A18, tblCPI_Map[Census Division and State], 0)), tblCPI[[#Headers],[West]:[National]], 0)+1, FALSE)</f>
        <v>15.180133657058237</v>
      </c>
      <c r="H18" s="76">
        <f t="shared" si="0"/>
        <v>16.23</v>
      </c>
      <c r="I18" s="70">
        <f t="shared" si="2"/>
        <v>6.4686774056793808E-2</v>
      </c>
    </row>
    <row r="19" spans="1:9" x14ac:dyDescent="0.25">
      <c r="A19" s="25" t="s">
        <v>181</v>
      </c>
      <c r="B19" s="44">
        <v>19.3</v>
      </c>
      <c r="C19" s="26">
        <v>20.010000000000002</v>
      </c>
      <c r="D19" s="70">
        <f t="shared" si="1"/>
        <v>3.5482258870564755E-2</v>
      </c>
      <c r="E19" s="70"/>
      <c r="F19" s="26"/>
      <c r="G19" s="119">
        <f>$B19 * VLOOKUP(2025, tblCPI[], MATCH(INDEX(tblCPI_Map[CPI Region], MATCH($A19, tblCPI_Map[Census Division and State], 0)), tblCPI[[#Headers],[West]:[National]], 0)+1, FALSE) /VLOOKUP(2024, tblCPI[], MATCH(INDEX(tblCPI_Map[CPI Region], MATCH($A19, tblCPI_Map[Census Division and State], 0)), tblCPI[[#Headers],[West]:[National]], 0)+1, FALSE)</f>
        <v>19.835922788166823</v>
      </c>
      <c r="H19" s="76">
        <f t="shared" si="0"/>
        <v>20.010000000000002</v>
      </c>
      <c r="I19" s="70">
        <f t="shared" si="2"/>
        <v>8.6995108362408306E-3</v>
      </c>
    </row>
    <row r="20" spans="1:9" x14ac:dyDescent="0.25">
      <c r="A20" s="25" t="s">
        <v>182</v>
      </c>
      <c r="B20" s="44">
        <v>15.99</v>
      </c>
      <c r="C20" s="26">
        <v>16.96</v>
      </c>
      <c r="D20" s="70">
        <f t="shared" si="1"/>
        <v>5.719339622641513E-2</v>
      </c>
      <c r="E20" s="70"/>
      <c r="F20" s="44"/>
      <c r="G20" s="119">
        <f>$B20 * VLOOKUP(2025, tblCPI[], MATCH(INDEX(tblCPI_Map[CPI Region], MATCH($A20, tblCPI_Map[Census Division and State], 0)), tblCPI[[#Headers],[West]:[National]], 0)+1, FALSE) /VLOOKUP(2024, tblCPI[], MATCH(INDEX(tblCPI_Map[CPI Region], MATCH($A20, tblCPI_Map[Census Division and State], 0)), tblCPI[[#Headers],[West]:[National]], 0)+1, FALSE)</f>
        <v>16.434010641595204</v>
      </c>
      <c r="H20" s="76">
        <f t="shared" si="0"/>
        <v>16.96</v>
      </c>
      <c r="I20" s="70">
        <f t="shared" si="2"/>
        <v>3.1013523490848852E-2</v>
      </c>
    </row>
    <row r="21" spans="1:9" x14ac:dyDescent="0.25">
      <c r="A21" s="25" t="s">
        <v>185</v>
      </c>
      <c r="B21" s="44">
        <v>17.18</v>
      </c>
      <c r="C21" s="26">
        <v>18.16</v>
      </c>
      <c r="D21" s="70">
        <f t="shared" si="1"/>
        <v>5.3964757709251125E-2</v>
      </c>
      <c r="E21" s="70"/>
      <c r="F21" s="44"/>
      <c r="G21" s="119">
        <f>$B21 * VLOOKUP(2025, tblCPI[], MATCH(INDEX(tblCPI_Map[CPI Region], MATCH($A21, tblCPI_Map[Census Division and State], 0)), tblCPI[[#Headers],[West]:[National]], 0)+1, FALSE) /VLOOKUP(2024, tblCPI[], MATCH(INDEX(tblCPI_Map[CPI Region], MATCH($A21, tblCPI_Map[Census Division and State], 0)), tblCPI[[#Headers],[West]:[National]], 0)+1, FALSE)</f>
        <v>17.657054585528805</v>
      </c>
      <c r="H21" s="76">
        <f t="shared" si="0"/>
        <v>18.16</v>
      </c>
      <c r="I21" s="70">
        <f t="shared" si="2"/>
        <v>2.7695232074405041E-2</v>
      </c>
    </row>
    <row r="22" spans="1:9" x14ac:dyDescent="0.25">
      <c r="A22" s="60" t="s">
        <v>188</v>
      </c>
      <c r="B22" s="44">
        <v>13.47</v>
      </c>
      <c r="C22" s="26">
        <v>13.95</v>
      </c>
      <c r="D22" s="70">
        <f t="shared" si="1"/>
        <v>3.4408602150537537E-2</v>
      </c>
      <c r="E22" s="70"/>
      <c r="F22" s="44"/>
      <c r="G22" s="119">
        <f>$B22 * VLOOKUP(2025, tblCPI[], MATCH(INDEX(tblCPI_Map[CPI Region], MATCH($A22, tblCPI_Map[Census Division and State], 0)), tblCPI[[#Headers],[West]:[National]], 0)+1, FALSE) /VLOOKUP(2024, tblCPI[], MATCH(INDEX(tblCPI_Map[CPI Region], MATCH($A22, tblCPI_Map[Census Division and State], 0)), tblCPI[[#Headers],[West]:[National]], 0)+1, FALSE)</f>
        <v>13.844035230912285</v>
      </c>
      <c r="H22" s="76">
        <f t="shared" si="0"/>
        <v>13.95</v>
      </c>
      <c r="I22" s="70">
        <f t="shared" si="2"/>
        <v>7.5960407948182495E-3</v>
      </c>
    </row>
    <row r="23" spans="1:9" x14ac:dyDescent="0.25">
      <c r="A23" s="25" t="s">
        <v>191</v>
      </c>
      <c r="B23" s="44">
        <v>13.4</v>
      </c>
      <c r="C23" s="26">
        <v>13.72</v>
      </c>
      <c r="D23" s="70">
        <f t="shared" si="1"/>
        <v>2.3323615160349875E-2</v>
      </c>
      <c r="E23" s="70"/>
      <c r="F23" s="44"/>
      <c r="G23" s="119">
        <f>$B23 * VLOOKUP(2025, tblCPI[], MATCH(INDEX(tblCPI_Map[CPI Region], MATCH($A23, tblCPI_Map[Census Division and State], 0)), tblCPI[[#Headers],[West]:[National]], 0)+1, FALSE) /VLOOKUP(2024, tblCPI[], MATCH(INDEX(tblCPI_Map[CPI Region], MATCH($A23, tblCPI_Map[Census Division and State], 0)), tblCPI[[#Headers],[West]:[National]], 0)+1, FALSE)</f>
        <v>13.772091469504424</v>
      </c>
      <c r="H23" s="76">
        <f t="shared" si="0"/>
        <v>13.72</v>
      </c>
      <c r="I23" s="70">
        <f t="shared" si="2"/>
        <v>-3.7967543370571186E-3</v>
      </c>
    </row>
    <row r="24" spans="1:9" x14ac:dyDescent="0.25">
      <c r="A24" s="25" t="s">
        <v>193</v>
      </c>
      <c r="B24" s="44">
        <v>14.15</v>
      </c>
      <c r="C24" s="26">
        <v>14.56</v>
      </c>
      <c r="D24" s="70">
        <f t="shared" si="1"/>
        <v>2.8159340659340667E-2</v>
      </c>
      <c r="E24" s="70"/>
      <c r="F24" s="44"/>
      <c r="G24" s="119">
        <f>$B24 * VLOOKUP(2025, tblCPI[], MATCH(INDEX(tblCPI_Map[CPI Region], MATCH($A24, tblCPI_Map[Census Division and State], 0)), tblCPI[[#Headers],[West]:[National]], 0)+1, FALSE) /VLOOKUP(2024, tblCPI[], MATCH(INDEX(tblCPI_Map[CPI Region], MATCH($A24, tblCPI_Map[Census Division and State], 0)), tblCPI[[#Headers],[West]:[National]], 0)+1, FALSE)</f>
        <v>14.542917484588626</v>
      </c>
      <c r="H24" s="76">
        <f t="shared" si="0"/>
        <v>14.56</v>
      </c>
      <c r="I24" s="70">
        <f t="shared" si="2"/>
        <v>1.1732496848471351E-3</v>
      </c>
    </row>
    <row r="25" spans="1:9" x14ac:dyDescent="0.25">
      <c r="A25" s="25" t="s">
        <v>195</v>
      </c>
      <c r="B25" s="44">
        <v>15.45</v>
      </c>
      <c r="C25" s="26">
        <v>15.82</v>
      </c>
      <c r="D25" s="70">
        <f t="shared" si="1"/>
        <v>2.3388116308470354E-2</v>
      </c>
      <c r="E25" s="70"/>
      <c r="F25" s="44"/>
      <c r="G25" s="119">
        <f>$B25 * VLOOKUP(2025, tblCPI[], MATCH(INDEX(tblCPI_Map[CPI Region], MATCH($A25, tblCPI_Map[Census Division and State], 0)), tblCPI[[#Headers],[West]:[National]], 0)+1, FALSE) /VLOOKUP(2024, tblCPI[], MATCH(INDEX(tblCPI_Map[CPI Region], MATCH($A25, tblCPI_Map[Census Division and State], 0)), tblCPI[[#Headers],[West]:[National]], 0)+1, FALSE)</f>
        <v>15.87901591073458</v>
      </c>
      <c r="H25" s="76">
        <f t="shared" si="0"/>
        <v>15.82</v>
      </c>
      <c r="I25" s="70">
        <f t="shared" si="2"/>
        <v>-3.7304621197585203E-3</v>
      </c>
    </row>
    <row r="26" spans="1:9" x14ac:dyDescent="0.25">
      <c r="A26" s="25" t="s">
        <v>196</v>
      </c>
      <c r="B26" s="44">
        <v>12.91</v>
      </c>
      <c r="C26" s="26">
        <v>13.49</v>
      </c>
      <c r="D26" s="70">
        <f t="shared" si="1"/>
        <v>4.2994810971089703E-2</v>
      </c>
      <c r="E26" s="70"/>
      <c r="F26" s="44"/>
      <c r="G26" s="119">
        <f>$B26 * VLOOKUP(2025, tblCPI[], MATCH(INDEX(tblCPI_Map[CPI Region], MATCH($A26, tblCPI_Map[Census Division and State], 0)), tblCPI[[#Headers],[West]:[National]], 0)+1, FALSE) /VLOOKUP(2024, tblCPI[], MATCH(INDEX(tblCPI_Map[CPI Region], MATCH($A26, tblCPI_Map[Census Division and State], 0)), tblCPI[[#Headers],[West]:[National]], 0)+1, FALSE)</f>
        <v>13.268485139649414</v>
      </c>
      <c r="H26" s="76">
        <f t="shared" si="0"/>
        <v>13.49</v>
      </c>
      <c r="I26" s="70">
        <f t="shared" si="2"/>
        <v>1.6420671634587571E-2</v>
      </c>
    </row>
    <row r="27" spans="1:9" x14ac:dyDescent="0.25">
      <c r="A27" s="25" t="s">
        <v>199</v>
      </c>
      <c r="B27" s="44">
        <v>11.53</v>
      </c>
      <c r="C27" s="26">
        <v>12.34</v>
      </c>
      <c r="D27" s="70">
        <f t="shared" si="1"/>
        <v>6.564019448946519E-2</v>
      </c>
      <c r="E27" s="70"/>
      <c r="F27" s="44"/>
      <c r="G27" s="119">
        <f>$B27 * VLOOKUP(2025, tblCPI[], MATCH(INDEX(tblCPI_Map[CPI Region], MATCH($A27, tblCPI_Map[Census Division and State], 0)), tblCPI[[#Headers],[West]:[National]], 0)+1, FALSE) /VLOOKUP(2024, tblCPI[], MATCH(INDEX(tblCPI_Map[CPI Region], MATCH($A27, tblCPI_Map[Census Division and State], 0)), tblCPI[[#Headers],[West]:[National]], 0)+1, FALSE)</f>
        <v>11.850165271894479</v>
      </c>
      <c r="H27" s="76">
        <f t="shared" si="0"/>
        <v>12.34</v>
      </c>
      <c r="I27" s="70">
        <f t="shared" si="2"/>
        <v>3.9694872617951446E-2</v>
      </c>
    </row>
    <row r="28" spans="1:9" x14ac:dyDescent="0.25">
      <c r="A28" s="25" t="s">
        <v>201</v>
      </c>
      <c r="B28" s="44">
        <v>11.51</v>
      </c>
      <c r="C28" s="26">
        <v>11.81</v>
      </c>
      <c r="D28" s="70">
        <f t="shared" si="1"/>
        <v>2.540220152413215E-2</v>
      </c>
      <c r="E28" s="70"/>
      <c r="F28" s="44"/>
      <c r="G28" s="119">
        <f>$B28 * VLOOKUP(2025, tblCPI[], MATCH(INDEX(tblCPI_Map[CPI Region], MATCH($A28, tblCPI_Map[Census Division and State], 0)), tblCPI[[#Headers],[West]:[National]], 0)+1, FALSE) /VLOOKUP(2024, tblCPI[], MATCH(INDEX(tblCPI_Map[CPI Region], MATCH($A28, tblCPI_Map[Census Division and State], 0)), tblCPI[[#Headers],[West]:[National]], 0)+1, FALSE)</f>
        <v>11.829609911492232</v>
      </c>
      <c r="H28" s="76">
        <f t="shared" si="0"/>
        <v>11.81</v>
      </c>
      <c r="I28" s="70">
        <f t="shared" si="2"/>
        <v>-1.6604497453202288E-3</v>
      </c>
    </row>
    <row r="29" spans="1:9" x14ac:dyDescent="0.25">
      <c r="A29" s="25" t="s">
        <v>203</v>
      </c>
      <c r="B29" s="44">
        <v>12.86</v>
      </c>
      <c r="C29" s="26">
        <v>13.38</v>
      </c>
      <c r="D29" s="70">
        <f t="shared" si="1"/>
        <v>3.8863976083707126E-2</v>
      </c>
      <c r="E29" s="70"/>
      <c r="F29" s="44"/>
      <c r="G29" s="119">
        <f>$B29 * VLOOKUP(2025, tblCPI[], MATCH(INDEX(tblCPI_Map[CPI Region], MATCH($A29, tblCPI_Map[Census Division and State], 0)), tblCPI[[#Headers],[West]:[National]], 0)+1, FALSE) /VLOOKUP(2024, tblCPI[], MATCH(INDEX(tblCPI_Map[CPI Region], MATCH($A29, tblCPI_Map[Census Division and State], 0)), tblCPI[[#Headers],[West]:[National]], 0)+1, FALSE)</f>
        <v>13.217096738643798</v>
      </c>
      <c r="H29" s="76">
        <f t="shared" si="0"/>
        <v>13.38</v>
      </c>
      <c r="I29" s="70">
        <f t="shared" si="2"/>
        <v>1.2175131640971783E-2</v>
      </c>
    </row>
    <row r="30" spans="1:9" x14ac:dyDescent="0.25">
      <c r="A30" s="60" t="s">
        <v>204</v>
      </c>
      <c r="B30" s="44">
        <v>14.51</v>
      </c>
      <c r="C30" s="26">
        <v>15.31</v>
      </c>
      <c r="D30" s="70">
        <f t="shared" si="1"/>
        <v>5.2253429131286784E-2</v>
      </c>
      <c r="E30" s="70"/>
      <c r="F30" s="44"/>
      <c r="G30" s="119">
        <f>$B30 * VLOOKUP(2025, tblCPI[], MATCH(INDEX(tblCPI_Map[CPI Region], MATCH($A30, tblCPI_Map[Census Division and State], 0)), tblCPI[[#Headers],[West]:[National]], 0)+1, FALSE) /VLOOKUP(2024, tblCPI[], MATCH(INDEX(tblCPI_Map[CPI Region], MATCH($A30, tblCPI_Map[Census Division and State], 0)), tblCPI[[#Headers],[West]:[National]], 0)+1, FALSE)</f>
        <v>14.833778863450933</v>
      </c>
      <c r="H30" s="76">
        <f t="shared" si="0"/>
        <v>15.31</v>
      </c>
      <c r="I30" s="70">
        <f t="shared" si="2"/>
        <v>3.1105234261859425E-2</v>
      </c>
    </row>
    <row r="31" spans="1:9" x14ac:dyDescent="0.25">
      <c r="A31" s="25" t="s">
        <v>207</v>
      </c>
      <c r="B31" s="44">
        <v>16.57</v>
      </c>
      <c r="C31" s="26">
        <v>17.13</v>
      </c>
      <c r="D31" s="70">
        <f t="shared" si="1"/>
        <v>3.2691185055458184E-2</v>
      </c>
      <c r="E31" s="70"/>
      <c r="F31" s="44"/>
      <c r="G31" s="119">
        <f>$B31 * VLOOKUP(2025, tblCPI[], MATCH(INDEX(tblCPI_Map[CPI Region], MATCH($A31, tblCPI_Map[Census Division and State], 0)), tblCPI[[#Headers],[West]:[National]], 0)+1, FALSE) /VLOOKUP(2024, tblCPI[], MATCH(INDEX(tblCPI_Map[CPI Region], MATCH($A31, tblCPI_Map[Census Division and State], 0)), tblCPI[[#Headers],[West]:[National]], 0)+1, FALSE)</f>
        <v>16.939746090102133</v>
      </c>
      <c r="H31" s="76">
        <f t="shared" si="0"/>
        <v>17.13</v>
      </c>
      <c r="I31" s="70">
        <f t="shared" si="2"/>
        <v>1.1106474599992162E-2</v>
      </c>
    </row>
    <row r="32" spans="1:9" x14ac:dyDescent="0.25">
      <c r="A32" s="25" t="s">
        <v>208</v>
      </c>
      <c r="B32" s="44">
        <v>17.71</v>
      </c>
      <c r="C32" s="26">
        <v>21.94</v>
      </c>
      <c r="D32" s="70">
        <f t="shared" si="1"/>
        <v>0.19279854147675479</v>
      </c>
      <c r="E32" s="70"/>
      <c r="F32" s="44"/>
      <c r="G32" s="119">
        <f>$B32 * VLOOKUP(2025, tblCPI[], MATCH(INDEX(tblCPI_Map[CPI Region], MATCH($A32, tblCPI_Map[Census Division and State], 0)), tblCPI[[#Headers],[West]:[National]], 0)+1, FALSE) /VLOOKUP(2024, tblCPI[], MATCH(INDEX(tblCPI_Map[CPI Region], MATCH($A32, tblCPI_Map[Census Division and State], 0)), tblCPI[[#Headers],[West]:[National]], 0)+1, FALSE)</f>
        <v>18.105184264074158</v>
      </c>
      <c r="H32" s="76">
        <f t="shared" si="0"/>
        <v>21.94</v>
      </c>
      <c r="I32" s="70">
        <f t="shared" si="2"/>
        <v>0.17478649662378504</v>
      </c>
    </row>
    <row r="33" spans="1:9" x14ac:dyDescent="0.25">
      <c r="A33" s="25" t="s">
        <v>209</v>
      </c>
      <c r="B33" s="44">
        <v>14.14</v>
      </c>
      <c r="C33" s="26">
        <v>15.24</v>
      </c>
      <c r="D33" s="70">
        <f t="shared" si="1"/>
        <v>7.2178477690288692E-2</v>
      </c>
      <c r="E33" s="70"/>
      <c r="F33" s="44"/>
      <c r="G33" s="119">
        <f>$B33 * VLOOKUP(2025, tblCPI[], MATCH(INDEX(tblCPI_Map[CPI Region], MATCH($A33, tblCPI_Map[Census Division and State], 0)), tblCPI[[#Headers],[West]:[National]], 0)+1, FALSE) /VLOOKUP(2024, tblCPI[], MATCH(INDEX(tblCPI_Map[CPI Region], MATCH($A33, tblCPI_Map[Census Division and State], 0)), tblCPI[[#Headers],[West]:[National]], 0)+1, FALSE)</f>
        <v>14.455522614003874</v>
      </c>
      <c r="H33" s="76">
        <f t="shared" si="0"/>
        <v>15.24</v>
      </c>
      <c r="I33" s="70">
        <f t="shared" si="2"/>
        <v>5.1474894094234024E-2</v>
      </c>
    </row>
    <row r="34" spans="1:9" x14ac:dyDescent="0.25">
      <c r="A34" s="25" t="s">
        <v>210</v>
      </c>
      <c r="B34" s="44">
        <v>14.08</v>
      </c>
      <c r="C34" s="26">
        <v>14.73</v>
      </c>
      <c r="D34" s="70">
        <f t="shared" si="1"/>
        <v>4.4127630685675517E-2</v>
      </c>
      <c r="E34" s="70"/>
      <c r="F34" s="44"/>
      <c r="G34" s="119">
        <f>$B34 * VLOOKUP(2025, tblCPI[], MATCH(INDEX(tblCPI_Map[CPI Region], MATCH($A34, tblCPI_Map[Census Division and State], 0)), tblCPI[[#Headers],[West]:[National]], 0)+1, FALSE) /VLOOKUP(2024, tblCPI[], MATCH(INDEX(tblCPI_Map[CPI Region], MATCH($A34, tblCPI_Map[Census Division and State], 0)), tblCPI[[#Headers],[West]:[National]], 0)+1, FALSE)</f>
        <v>14.394183762742188</v>
      </c>
      <c r="H34" s="76">
        <f t="shared" si="0"/>
        <v>14.73</v>
      </c>
      <c r="I34" s="70">
        <f t="shared" si="2"/>
        <v>2.279811522456299E-2</v>
      </c>
    </row>
    <row r="35" spans="1:9" x14ac:dyDescent="0.25">
      <c r="A35" s="25" t="s">
        <v>211</v>
      </c>
      <c r="B35" s="44">
        <v>17.86</v>
      </c>
      <c r="C35" s="26">
        <v>19.48</v>
      </c>
      <c r="D35" s="70">
        <f t="shared" si="1"/>
        <v>8.316221765913763E-2</v>
      </c>
      <c r="E35" s="70"/>
      <c r="F35" s="44"/>
      <c r="G35" s="119">
        <f>$B35 * VLOOKUP(2025, tblCPI[], MATCH(INDEX(tblCPI_Map[CPI Region], MATCH($A35, tblCPI_Map[Census Division and State], 0)), tblCPI[[#Headers],[West]:[National]], 0)+1, FALSE) /VLOOKUP(2024, tblCPI[], MATCH(INDEX(tblCPI_Map[CPI Region], MATCH($A35, tblCPI_Map[Census Division and State], 0)), tblCPI[[#Headers],[West]:[National]], 0)+1, FALSE)</f>
        <v>18.25853139222837</v>
      </c>
      <c r="H35" s="76">
        <f t="shared" si="0"/>
        <v>19.48</v>
      </c>
      <c r="I35" s="70">
        <f t="shared" si="2"/>
        <v>6.2703727298338299E-2</v>
      </c>
    </row>
    <row r="36" spans="1:9" x14ac:dyDescent="0.25">
      <c r="A36" s="25" t="s">
        <v>212</v>
      </c>
      <c r="B36" s="44">
        <v>14.13</v>
      </c>
      <c r="C36" s="26">
        <v>14.02</v>
      </c>
      <c r="D36" s="70">
        <f t="shared" si="1"/>
        <v>-7.8459343794580038E-3</v>
      </c>
      <c r="E36" s="70"/>
      <c r="F36" s="44"/>
      <c r="G36" s="119">
        <f>$B36 * VLOOKUP(2025, tblCPI[], MATCH(INDEX(tblCPI_Map[CPI Region], MATCH($A36, tblCPI_Map[Census Division and State], 0)), tblCPI[[#Headers],[West]:[National]], 0)+1, FALSE) /VLOOKUP(2024, tblCPI[], MATCH(INDEX(tblCPI_Map[CPI Region], MATCH($A36, tblCPI_Map[Census Division and State], 0)), tblCPI[[#Headers],[West]:[National]], 0)+1, FALSE)</f>
        <v>14.445299472126928</v>
      </c>
      <c r="H36" s="76">
        <f t="shared" si="0"/>
        <v>14.02</v>
      </c>
      <c r="I36" s="70">
        <f t="shared" si="2"/>
        <v>-3.0335197726599754E-2</v>
      </c>
    </row>
    <row r="37" spans="1:9" x14ac:dyDescent="0.25">
      <c r="A37" s="25" t="s">
        <v>213</v>
      </c>
      <c r="B37" s="44">
        <v>14.23</v>
      </c>
      <c r="C37" s="26">
        <v>14.96</v>
      </c>
      <c r="D37" s="70">
        <f t="shared" si="1"/>
        <v>4.8796791443850296E-2</v>
      </c>
      <c r="E37" s="70"/>
      <c r="F37" s="44"/>
      <c r="G37" s="119">
        <f>$B37 * VLOOKUP(2025, tblCPI[], MATCH(INDEX(tblCPI_Map[CPI Region], MATCH($A37, tblCPI_Map[Census Division and State], 0)), tblCPI[[#Headers],[West]:[National]], 0)+1, FALSE) /VLOOKUP(2024, tblCPI[], MATCH(INDEX(tblCPI_Map[CPI Region], MATCH($A37, tblCPI_Map[Census Division and State], 0)), tblCPI[[#Headers],[West]:[National]], 0)+1, FALSE)</f>
        <v>14.5475308908964</v>
      </c>
      <c r="H37" s="76">
        <f t="shared" ref="H37:H66" si="3">C37</f>
        <v>14.96</v>
      </c>
      <c r="I37" s="70">
        <f t="shared" si="2"/>
        <v>2.7571464512272763E-2</v>
      </c>
    </row>
    <row r="38" spans="1:9" x14ac:dyDescent="0.25">
      <c r="A38" s="25" t="s">
        <v>214</v>
      </c>
      <c r="B38" s="44">
        <v>14.41</v>
      </c>
      <c r="C38" s="26">
        <v>15.28</v>
      </c>
      <c r="D38" s="70">
        <f t="shared" si="1"/>
        <v>5.6937172774869059E-2</v>
      </c>
      <c r="E38" s="70"/>
      <c r="F38" s="44"/>
      <c r="G38" s="119">
        <f>$B38 * VLOOKUP(2025, tblCPI[], MATCH(INDEX(tblCPI_Map[CPI Region], MATCH($A38, tblCPI_Map[Census Division and State], 0)), tblCPI[[#Headers],[West]:[National]], 0)+1, FALSE) /VLOOKUP(2024, tblCPI[], MATCH(INDEX(tblCPI_Map[CPI Region], MATCH($A38, tblCPI_Map[Census Division and State], 0)), tblCPI[[#Headers],[West]:[National]], 0)+1, FALSE)</f>
        <v>14.731547444681457</v>
      </c>
      <c r="H38" s="76">
        <f t="shared" si="3"/>
        <v>15.28</v>
      </c>
      <c r="I38" s="70">
        <f t="shared" si="2"/>
        <v>3.5893491840218748E-2</v>
      </c>
    </row>
    <row r="39" spans="1:9" x14ac:dyDescent="0.25">
      <c r="A39" s="25" t="s">
        <v>215</v>
      </c>
      <c r="B39" s="44">
        <v>15.07</v>
      </c>
      <c r="C39" s="26">
        <v>15.41</v>
      </c>
      <c r="D39" s="70">
        <f t="shared" si="1"/>
        <v>2.2063595068137563E-2</v>
      </c>
      <c r="E39" s="70"/>
      <c r="F39" s="44"/>
      <c r="G39" s="119">
        <f>$B39 * VLOOKUP(2025, tblCPI[], MATCH(INDEX(tblCPI_Map[CPI Region], MATCH($A39, tblCPI_Map[Census Division and State], 0)), tblCPI[[#Headers],[West]:[National]], 0)+1, FALSE) /VLOOKUP(2024, tblCPI[], MATCH(INDEX(tblCPI_Map[CPI Region], MATCH($A39, tblCPI_Map[Census Division and State], 0)), tblCPI[[#Headers],[West]:[National]], 0)+1, FALSE)</f>
        <v>15.406274808559997</v>
      </c>
      <c r="H39" s="76">
        <f t="shared" si="3"/>
        <v>15.41</v>
      </c>
      <c r="I39" s="70">
        <f t="shared" si="2"/>
        <v>2.4173857495150665E-4</v>
      </c>
    </row>
    <row r="40" spans="1:9" x14ac:dyDescent="0.25">
      <c r="A40" s="60" t="s">
        <v>216</v>
      </c>
      <c r="B40" s="44">
        <v>13.4</v>
      </c>
      <c r="C40" s="26">
        <v>14.1</v>
      </c>
      <c r="D40" s="70">
        <f t="shared" si="1"/>
        <v>4.964539007092194E-2</v>
      </c>
      <c r="E40" s="70"/>
      <c r="F40" s="44"/>
      <c r="G40" s="119">
        <f>$B40 * VLOOKUP(2025, tblCPI[], MATCH(INDEX(tblCPI_Map[CPI Region], MATCH($A40, tblCPI_Map[Census Division and State], 0)), tblCPI[[#Headers],[West]:[National]], 0)+1, FALSE) /VLOOKUP(2024, tblCPI[], MATCH(INDEX(tblCPI_Map[CPI Region], MATCH($A40, tblCPI_Map[Census Division and State], 0)), tblCPI[[#Headers],[West]:[National]], 0)+1, FALSE)</f>
        <v>13.699010115109754</v>
      </c>
      <c r="H40" s="76">
        <f t="shared" si="3"/>
        <v>14.1</v>
      </c>
      <c r="I40" s="70">
        <f t="shared" si="2"/>
        <v>2.8438998928386212E-2</v>
      </c>
    </row>
    <row r="41" spans="1:9" x14ac:dyDescent="0.25">
      <c r="A41" s="25" t="s">
        <v>217</v>
      </c>
      <c r="B41" s="44">
        <v>15.18</v>
      </c>
      <c r="C41" s="26">
        <v>16.100000000000001</v>
      </c>
      <c r="D41" s="70">
        <f t="shared" si="1"/>
        <v>5.7142857142857245E-2</v>
      </c>
      <c r="E41" s="70"/>
      <c r="F41" s="44"/>
      <c r="G41" s="119">
        <f>$B41 * VLOOKUP(2025, tblCPI[], MATCH(INDEX(tblCPI_Map[CPI Region], MATCH($A41, tblCPI_Map[Census Division and State], 0)), tblCPI[[#Headers],[West]:[National]], 0)+1, FALSE) /VLOOKUP(2024, tblCPI[], MATCH(INDEX(tblCPI_Map[CPI Region], MATCH($A41, tblCPI_Map[Census Division and State], 0)), tblCPI[[#Headers],[West]:[National]], 0)+1, FALSE)</f>
        <v>15.518729369206421</v>
      </c>
      <c r="H41" s="76">
        <f t="shared" si="3"/>
        <v>16.100000000000001</v>
      </c>
      <c r="I41" s="70">
        <f t="shared" si="2"/>
        <v>3.6103765887800052E-2</v>
      </c>
    </row>
    <row r="42" spans="1:9" x14ac:dyDescent="0.25">
      <c r="A42" s="25" t="s">
        <v>218</v>
      </c>
      <c r="B42" s="44">
        <v>12.79</v>
      </c>
      <c r="C42" s="26">
        <v>13.24</v>
      </c>
      <c r="D42" s="70">
        <f t="shared" si="1"/>
        <v>3.3987915407855063E-2</v>
      </c>
      <c r="E42" s="70"/>
      <c r="F42" s="44"/>
      <c r="G42" s="119">
        <f>$B42 * VLOOKUP(2025, tblCPI[], MATCH(INDEX(tblCPI_Map[CPI Region], MATCH($A42, tblCPI_Map[Census Division and State], 0)), tblCPI[[#Headers],[West]:[National]], 0)+1, FALSE) /VLOOKUP(2024, tblCPI[], MATCH(INDEX(tblCPI_Map[CPI Region], MATCH($A42, tblCPI_Map[Census Division and State], 0)), tblCPI[[#Headers],[West]:[National]], 0)+1, FALSE)</f>
        <v>13.075398460615949</v>
      </c>
      <c r="H42" s="76">
        <f t="shared" si="3"/>
        <v>13.24</v>
      </c>
      <c r="I42" s="70">
        <f t="shared" si="2"/>
        <v>1.243214043686189E-2</v>
      </c>
    </row>
    <row r="43" spans="1:9" x14ac:dyDescent="0.25">
      <c r="A43" s="25" t="s">
        <v>219</v>
      </c>
      <c r="B43" s="44">
        <v>13.39</v>
      </c>
      <c r="C43" s="26">
        <v>14.03</v>
      </c>
      <c r="D43" s="70">
        <f t="shared" si="1"/>
        <v>4.5616535994297852E-2</v>
      </c>
      <c r="E43" s="70"/>
      <c r="F43" s="44"/>
      <c r="G43" s="119">
        <f>$B43 * VLOOKUP(2025, tblCPI[], MATCH(INDEX(tblCPI_Map[CPI Region], MATCH($A43, tblCPI_Map[Census Division and State], 0)), tblCPI[[#Headers],[West]:[National]], 0)+1, FALSE) /VLOOKUP(2024, tblCPI[], MATCH(INDEX(tblCPI_Map[CPI Region], MATCH($A43, tblCPI_Map[Census Division and State], 0)), tblCPI[[#Headers],[West]:[National]], 0)+1, FALSE)</f>
        <v>13.688786973232805</v>
      </c>
      <c r="H43" s="76">
        <f t="shared" si="3"/>
        <v>14.03</v>
      </c>
      <c r="I43" s="70">
        <f t="shared" si="2"/>
        <v>2.4320244245701672E-2</v>
      </c>
    </row>
    <row r="44" spans="1:9" x14ac:dyDescent="0.25">
      <c r="A44" s="25" t="s">
        <v>220</v>
      </c>
      <c r="B44" s="44">
        <v>12.42</v>
      </c>
      <c r="C44" s="26">
        <v>13.18</v>
      </c>
      <c r="D44" s="70">
        <f t="shared" si="1"/>
        <v>5.7663125948406661E-2</v>
      </c>
      <c r="E44" s="70"/>
      <c r="F44" s="44"/>
      <c r="G44" s="119">
        <f>$B44 * VLOOKUP(2025, tblCPI[], MATCH(INDEX(tblCPI_Map[CPI Region], MATCH($A44, tblCPI_Map[Census Division and State], 0)), tblCPI[[#Headers],[West]:[National]], 0)+1, FALSE) /VLOOKUP(2024, tblCPI[], MATCH(INDEX(tblCPI_Map[CPI Region], MATCH($A44, tblCPI_Map[Census Division and State], 0)), tblCPI[[#Headers],[West]:[National]], 0)+1, FALSE)</f>
        <v>12.69714221116889</v>
      </c>
      <c r="H44" s="76">
        <f t="shared" si="3"/>
        <v>13.18</v>
      </c>
      <c r="I44" s="70">
        <f t="shared" si="2"/>
        <v>3.6635644069128212E-2</v>
      </c>
    </row>
    <row r="45" spans="1:9" x14ac:dyDescent="0.25">
      <c r="A45" s="60" t="s">
        <v>221</v>
      </c>
      <c r="B45" s="44">
        <v>14.04</v>
      </c>
      <c r="C45" s="26">
        <v>14.65</v>
      </c>
      <c r="D45" s="70">
        <f t="shared" si="1"/>
        <v>4.1638225255972779E-2</v>
      </c>
      <c r="E45" s="70"/>
      <c r="F45" s="44"/>
      <c r="G45" s="119">
        <f>$B45 * VLOOKUP(2025, tblCPI[], MATCH(INDEX(tblCPI_Map[CPI Region], MATCH($A45, tblCPI_Map[Census Division and State], 0)), tblCPI[[#Headers],[West]:[National]], 0)+1, FALSE) /VLOOKUP(2024, tblCPI[], MATCH(INDEX(tblCPI_Map[CPI Region], MATCH($A45, tblCPI_Map[Census Division and State], 0)), tblCPI[[#Headers],[West]:[National]], 0)+1, FALSE)</f>
        <v>14.353291195234394</v>
      </c>
      <c r="H45" s="76">
        <f t="shared" si="3"/>
        <v>14.65</v>
      </c>
      <c r="I45" s="70">
        <f t="shared" si="2"/>
        <v>2.0253160734853646E-2</v>
      </c>
    </row>
    <row r="46" spans="1:9" x14ac:dyDescent="0.25">
      <c r="A46" s="25" t="s">
        <v>222</v>
      </c>
      <c r="B46" s="44">
        <v>12.32</v>
      </c>
      <c r="C46" s="26">
        <v>12.84</v>
      </c>
      <c r="D46" s="70">
        <f t="shared" si="1"/>
        <v>4.0498442367601216E-2</v>
      </c>
      <c r="E46" s="70"/>
      <c r="F46" s="44"/>
      <c r="G46" s="119">
        <f>$B46 * VLOOKUP(2025, tblCPI[], MATCH(INDEX(tblCPI_Map[CPI Region], MATCH($A46, tblCPI_Map[Census Division and State], 0)), tblCPI[[#Headers],[West]:[National]], 0)+1, FALSE) /VLOOKUP(2024, tblCPI[], MATCH(INDEX(tblCPI_Map[CPI Region], MATCH($A46, tblCPI_Map[Census Division and State], 0)), tblCPI[[#Headers],[West]:[National]], 0)+1, FALSE)</f>
        <v>12.594910792399414</v>
      </c>
      <c r="H46" s="76">
        <f t="shared" si="3"/>
        <v>12.84</v>
      </c>
      <c r="I46" s="70">
        <f t="shared" si="2"/>
        <v>1.9087944517179573E-2</v>
      </c>
    </row>
    <row r="47" spans="1:9" x14ac:dyDescent="0.25">
      <c r="A47" s="25" t="s">
        <v>223</v>
      </c>
      <c r="B47" s="44">
        <v>11.73</v>
      </c>
      <c r="C47" s="26">
        <v>12.57</v>
      </c>
      <c r="D47" s="70">
        <f t="shared" si="1"/>
        <v>6.6825775656324568E-2</v>
      </c>
      <c r="E47" s="70"/>
      <c r="F47" s="44"/>
      <c r="G47" s="119">
        <f>$B47 * VLOOKUP(2025, tblCPI[], MATCH(INDEX(tblCPI_Map[CPI Region], MATCH($A47, tblCPI_Map[Census Division and State], 0)), tblCPI[[#Headers],[West]:[National]], 0)+1, FALSE) /VLOOKUP(2024, tblCPI[], MATCH(INDEX(tblCPI_Map[CPI Region], MATCH($A47, tblCPI_Map[Census Division and State], 0)), tblCPI[[#Headers],[West]:[National]], 0)+1, FALSE)</f>
        <v>11.991745421659507</v>
      </c>
      <c r="H47" s="76">
        <f t="shared" si="3"/>
        <v>12.57</v>
      </c>
      <c r="I47" s="70">
        <f t="shared" si="2"/>
        <v>4.6002750862409951E-2</v>
      </c>
    </row>
    <row r="48" spans="1:9" x14ac:dyDescent="0.25">
      <c r="A48" s="25" t="s">
        <v>224</v>
      </c>
      <c r="B48" s="44">
        <v>12.24</v>
      </c>
      <c r="C48" s="26">
        <v>13.12</v>
      </c>
      <c r="D48" s="70">
        <f t="shared" si="1"/>
        <v>6.7073170731707252E-2</v>
      </c>
      <c r="E48" s="70"/>
      <c r="F48" s="44"/>
      <c r="G48" s="119">
        <f>$B48 * VLOOKUP(2025, tblCPI[], MATCH(INDEX(tblCPI_Map[CPI Region], MATCH($A48, tblCPI_Map[Census Division and State], 0)), tblCPI[[#Headers],[West]:[National]], 0)+1, FALSE) /VLOOKUP(2024, tblCPI[], MATCH(INDEX(tblCPI_Map[CPI Region], MATCH($A48, tblCPI_Map[Census Division and State], 0)), tblCPI[[#Headers],[West]:[National]], 0)+1, FALSE)</f>
        <v>12.513125657383833</v>
      </c>
      <c r="H48" s="76">
        <f t="shared" si="3"/>
        <v>13.12</v>
      </c>
      <c r="I48" s="70">
        <f t="shared" si="2"/>
        <v>4.6255666357939484E-2</v>
      </c>
    </row>
    <row r="49" spans="1:9" x14ac:dyDescent="0.25">
      <c r="A49" s="25" t="s">
        <v>225</v>
      </c>
      <c r="B49" s="44">
        <v>14.94</v>
      </c>
      <c r="C49" s="26">
        <v>15.47</v>
      </c>
      <c r="D49" s="70">
        <f t="shared" si="1"/>
        <v>3.4259857789269627E-2</v>
      </c>
      <c r="E49" s="70"/>
      <c r="F49" s="44"/>
      <c r="G49" s="119">
        <f>$B49 * VLOOKUP(2025, tblCPI[], MATCH(INDEX(tblCPI_Map[CPI Region], MATCH($A49, tblCPI_Map[Census Division and State], 0)), tblCPI[[#Headers],[West]:[National]], 0)+1, FALSE) /VLOOKUP(2024, tblCPI[], MATCH(INDEX(tblCPI_Map[CPI Region], MATCH($A49, tblCPI_Map[Census Division and State], 0)), tblCPI[[#Headers],[West]:[National]], 0)+1, FALSE)</f>
        <v>15.273373964159678</v>
      </c>
      <c r="H49" s="76">
        <f t="shared" si="3"/>
        <v>15.47</v>
      </c>
      <c r="I49" s="70">
        <f t="shared" si="2"/>
        <v>1.271015099161751E-2</v>
      </c>
    </row>
    <row r="50" spans="1:9" x14ac:dyDescent="0.25">
      <c r="A50" s="60" t="s">
        <v>226</v>
      </c>
      <c r="B50" s="44">
        <v>14.12</v>
      </c>
      <c r="C50" s="26">
        <v>14.41</v>
      </c>
      <c r="D50" s="70">
        <f t="shared" si="1"/>
        <v>2.012491325468431E-2</v>
      </c>
      <c r="E50" s="70"/>
      <c r="F50" s="44"/>
      <c r="G50" s="119">
        <f>$B50 * VLOOKUP(2025, tblCPI[], MATCH(INDEX(tblCPI_Map[CPI Region], MATCH($A50, tblCPI_Map[Census Division and State], 0)), tblCPI[[#Headers],[West]:[National]], 0)+1, FALSE) /VLOOKUP(2024, tblCPI[], MATCH(INDEX(tblCPI_Map[CPI Region], MATCH($A50, tblCPI_Map[Census Division and State], 0)), tblCPI[[#Headers],[West]:[National]], 0)+1, FALSE)</f>
        <v>14.497655768970853</v>
      </c>
      <c r="H50" s="76">
        <f t="shared" si="3"/>
        <v>14.41</v>
      </c>
      <c r="I50" s="70">
        <f t="shared" si="2"/>
        <v>-6.0829818855553802E-3</v>
      </c>
    </row>
    <row r="51" spans="1:9" x14ac:dyDescent="0.25">
      <c r="A51" s="25" t="s">
        <v>227</v>
      </c>
      <c r="B51" s="44">
        <v>14.91</v>
      </c>
      <c r="C51" s="26">
        <v>15.32</v>
      </c>
      <c r="D51" s="70">
        <f t="shared" si="1"/>
        <v>2.6762402088772855E-2</v>
      </c>
      <c r="E51" s="70"/>
      <c r="F51" s="44"/>
      <c r="G51" s="119">
        <f>$B51 * VLOOKUP(2025, tblCPI[], MATCH(INDEX(tblCPI_Map[CPI Region], MATCH($A51, tblCPI_Map[Census Division and State], 0)), tblCPI[[#Headers],[West]:[National]], 0)+1, FALSE) /VLOOKUP(2024, tblCPI[], MATCH(INDEX(tblCPI_Map[CPI Region], MATCH($A51, tblCPI_Map[Census Division and State], 0)), tblCPI[[#Headers],[West]:[National]], 0)+1, FALSE)</f>
        <v>15.308785234798542</v>
      </c>
      <c r="H51" s="76">
        <f t="shared" si="3"/>
        <v>15.32</v>
      </c>
      <c r="I51" s="70">
        <f t="shared" si="2"/>
        <v>7.3203428207953497E-4</v>
      </c>
    </row>
    <row r="52" spans="1:9" x14ac:dyDescent="0.25">
      <c r="A52" s="25" t="s">
        <v>228</v>
      </c>
      <c r="B52" s="44">
        <v>14.92</v>
      </c>
      <c r="C52" s="26">
        <v>15.85</v>
      </c>
      <c r="D52" s="70">
        <f t="shared" si="1"/>
        <v>5.8675078864353296E-2</v>
      </c>
      <c r="E52" s="70"/>
      <c r="F52" s="44"/>
      <c r="G52" s="119">
        <f>$B52 * VLOOKUP(2025, tblCPI[], MATCH(INDEX(tblCPI_Map[CPI Region], MATCH($A52, tblCPI_Map[Census Division and State], 0)), tblCPI[[#Headers],[West]:[National]], 0)+1, FALSE) /VLOOKUP(2024, tblCPI[], MATCH(INDEX(tblCPI_Map[CPI Region], MATCH($A52, tblCPI_Map[Census Division and State], 0)), tblCPI[[#Headers],[West]:[National]], 0)+1, FALSE)</f>
        <v>15.319052696391296</v>
      </c>
      <c r="H52" s="76">
        <f t="shared" si="3"/>
        <v>15.85</v>
      </c>
      <c r="I52" s="70">
        <f t="shared" si="2"/>
        <v>3.3498252593609071E-2</v>
      </c>
    </row>
    <row r="53" spans="1:9" x14ac:dyDescent="0.25">
      <c r="A53" s="25" t="s">
        <v>229</v>
      </c>
      <c r="B53" s="44">
        <v>11.52</v>
      </c>
      <c r="C53" s="26">
        <v>11.82</v>
      </c>
      <c r="D53" s="70">
        <f t="shared" si="1"/>
        <v>2.5380710659898536E-2</v>
      </c>
      <c r="E53" s="70"/>
      <c r="F53" s="44"/>
      <c r="G53" s="119">
        <f>$B53 * VLOOKUP(2025, tblCPI[], MATCH(INDEX(tblCPI_Map[CPI Region], MATCH($A53, tblCPI_Map[Census Division and State], 0)), tblCPI[[#Headers],[West]:[National]], 0)+1, FALSE) /VLOOKUP(2024, tblCPI[], MATCH(INDEX(tblCPI_Map[CPI Region], MATCH($A53, tblCPI_Map[Census Division and State], 0)), tblCPI[[#Headers],[West]:[National]], 0)+1, FALSE)</f>
        <v>11.828115754854405</v>
      </c>
      <c r="H53" s="76">
        <f t="shared" si="3"/>
        <v>11.82</v>
      </c>
      <c r="I53" s="70">
        <f t="shared" si="2"/>
        <v>-6.8661208582105368E-4</v>
      </c>
    </row>
    <row r="54" spans="1:9" x14ac:dyDescent="0.25">
      <c r="A54" s="25" t="s">
        <v>230</v>
      </c>
      <c r="B54" s="44">
        <v>12.66</v>
      </c>
      <c r="C54" s="26">
        <v>12.98</v>
      </c>
      <c r="D54" s="70">
        <f t="shared" si="1"/>
        <v>2.4653312788906031E-2</v>
      </c>
      <c r="E54" s="70"/>
      <c r="F54" s="44"/>
      <c r="G54" s="119">
        <f>$B54 * VLOOKUP(2025, tblCPI[], MATCH(INDEX(tblCPI_Map[CPI Region], MATCH($A54, tblCPI_Map[Census Division and State], 0)), tblCPI[[#Headers],[West]:[National]], 0)+1, FALSE) /VLOOKUP(2024, tblCPI[], MATCH(INDEX(tblCPI_Map[CPI Region], MATCH($A54, tblCPI_Map[Census Division and State], 0)), tblCPI[[#Headers],[West]:[National]], 0)+1, FALSE)</f>
        <v>12.998606376428539</v>
      </c>
      <c r="H54" s="76">
        <f t="shared" si="3"/>
        <v>12.98</v>
      </c>
      <c r="I54" s="70">
        <f t="shared" si="2"/>
        <v>-1.4334650561277534E-3</v>
      </c>
    </row>
    <row r="55" spans="1:9" x14ac:dyDescent="0.25">
      <c r="A55" s="25" t="s">
        <v>231</v>
      </c>
      <c r="B55" s="44">
        <v>15</v>
      </c>
      <c r="C55" s="26">
        <v>13.15</v>
      </c>
      <c r="D55" s="70">
        <f t="shared" si="1"/>
        <v>-0.14068441064638781</v>
      </c>
      <c r="E55" s="70"/>
      <c r="F55" s="44"/>
      <c r="G55" s="119">
        <f>$B55 * VLOOKUP(2025, tblCPI[], MATCH(INDEX(tblCPI_Map[CPI Region], MATCH($A55, tblCPI_Map[Census Division and State], 0)), tblCPI[[#Headers],[West]:[National]], 0)+1, FALSE) /VLOOKUP(2024, tblCPI[], MATCH(INDEX(tblCPI_Map[CPI Region], MATCH($A55, tblCPI_Map[Census Division and State], 0)), tblCPI[[#Headers],[West]:[National]], 0)+1, FALSE)</f>
        <v>15.401192389133341</v>
      </c>
      <c r="H55" s="76">
        <f t="shared" si="3"/>
        <v>13.15</v>
      </c>
      <c r="I55" s="70">
        <f t="shared" si="2"/>
        <v>-0.17119333757667987</v>
      </c>
    </row>
    <row r="56" spans="1:9" x14ac:dyDescent="0.25">
      <c r="A56" s="25" t="s">
        <v>232</v>
      </c>
      <c r="B56" s="44">
        <v>14.2</v>
      </c>
      <c r="C56" s="26">
        <v>15.08</v>
      </c>
      <c r="D56" s="70">
        <f t="shared" si="1"/>
        <v>5.8355437665782543E-2</v>
      </c>
      <c r="E56" s="70"/>
      <c r="F56" s="44"/>
      <c r="G56" s="119">
        <f>$B56 * VLOOKUP(2025, tblCPI[], MATCH(INDEX(tblCPI_Map[CPI Region], MATCH($A56, tblCPI_Map[Census Division and State], 0)), tblCPI[[#Headers],[West]:[National]], 0)+1, FALSE) /VLOOKUP(2024, tblCPI[], MATCH(INDEX(tblCPI_Map[CPI Region], MATCH($A56, tblCPI_Map[Census Division and State], 0)), tblCPI[[#Headers],[West]:[National]], 0)+1, FALSE)</f>
        <v>14.579795461712898</v>
      </c>
      <c r="H56" s="76">
        <f t="shared" si="3"/>
        <v>15.08</v>
      </c>
      <c r="I56" s="70">
        <f t="shared" si="2"/>
        <v>3.3170062220630112E-2</v>
      </c>
    </row>
    <row r="57" spans="1:9" x14ac:dyDescent="0.25">
      <c r="A57" s="25" t="s">
        <v>233</v>
      </c>
      <c r="B57" s="44">
        <v>12.22</v>
      </c>
      <c r="C57" s="26">
        <v>13.07</v>
      </c>
      <c r="D57" s="70">
        <f t="shared" si="1"/>
        <v>6.5034429992348861E-2</v>
      </c>
      <c r="E57" s="70"/>
      <c r="F57" s="44"/>
      <c r="G57" s="119">
        <f>$B57 * VLOOKUP(2025, tblCPI[], MATCH(INDEX(tblCPI_Map[CPI Region], MATCH($A57, tblCPI_Map[Census Division and State], 0)), tblCPI[[#Headers],[West]:[National]], 0)+1, FALSE) /VLOOKUP(2024, tblCPI[], MATCH(INDEX(tblCPI_Map[CPI Region], MATCH($A57, tblCPI_Map[Census Division and State], 0)), tblCPI[[#Headers],[West]:[National]], 0)+1, FALSE)</f>
        <v>12.546838066347295</v>
      </c>
      <c r="H57" s="76">
        <f t="shared" si="3"/>
        <v>13.07</v>
      </c>
      <c r="I57" s="70">
        <f t="shared" si="2"/>
        <v>4.0027691939763223E-2</v>
      </c>
    </row>
    <row r="58" spans="1:9" x14ac:dyDescent="0.25">
      <c r="A58" s="25" t="s">
        <v>234</v>
      </c>
      <c r="B58" s="44">
        <v>12.47</v>
      </c>
      <c r="C58" s="26">
        <v>13.38</v>
      </c>
      <c r="D58" s="70">
        <f t="shared" si="1"/>
        <v>6.8011958146487306E-2</v>
      </c>
      <c r="E58" s="70"/>
      <c r="F58" s="44"/>
      <c r="G58" s="119">
        <f>$B58 * VLOOKUP(2025, tblCPI[], MATCH(INDEX(tblCPI_Map[CPI Region], MATCH($A58, tblCPI_Map[Census Division and State], 0)), tblCPI[[#Headers],[West]:[National]], 0)+1, FALSE) /VLOOKUP(2024, tblCPI[], MATCH(INDEX(tblCPI_Map[CPI Region], MATCH($A58, tblCPI_Map[Census Division and State], 0)), tblCPI[[#Headers],[West]:[National]], 0)+1, FALSE)</f>
        <v>12.803524606166185</v>
      </c>
      <c r="H58" s="76">
        <f t="shared" si="3"/>
        <v>13.38</v>
      </c>
      <c r="I58" s="70">
        <f t="shared" si="2"/>
        <v>4.3084857536159614E-2</v>
      </c>
    </row>
    <row r="59" spans="1:9" x14ac:dyDescent="0.25">
      <c r="A59" s="60" t="s">
        <v>235</v>
      </c>
      <c r="B59" s="44">
        <v>24.23</v>
      </c>
      <c r="C59" s="26">
        <v>24.74</v>
      </c>
      <c r="D59" s="70">
        <f t="shared" si="1"/>
        <v>2.0614389652384723E-2</v>
      </c>
      <c r="E59" s="70"/>
      <c r="F59" s="44"/>
      <c r="G59" s="119">
        <f>$B59 * VLOOKUP(2025, tblCPI[], MATCH(INDEX(tblCPI_Map[CPI Region], MATCH($A59, tblCPI_Map[Census Division and State], 0)), tblCPI[[#Headers],[West]:[National]], 0)+1, FALSE) /VLOOKUP(2024, tblCPI[], MATCH(INDEX(tblCPI_Map[CPI Region], MATCH($A59, tblCPI_Map[Census Division and State], 0)), tblCPI[[#Headers],[West]:[National]], 0)+1, FALSE)</f>
        <v>24.878059439246726</v>
      </c>
      <c r="H59" s="76">
        <f t="shared" si="3"/>
        <v>24.74</v>
      </c>
      <c r="I59" s="70">
        <f t="shared" si="2"/>
        <v>-5.5804138741603901E-3</v>
      </c>
    </row>
    <row r="60" spans="1:9" x14ac:dyDescent="0.25">
      <c r="A60" s="25" t="s">
        <v>236</v>
      </c>
      <c r="B60" s="44">
        <v>31.97</v>
      </c>
      <c r="C60" s="26">
        <v>32.54</v>
      </c>
      <c r="D60" s="70">
        <f t="shared" si="1"/>
        <v>1.7516902274124165E-2</v>
      </c>
      <c r="E60" s="70"/>
      <c r="F60" s="44"/>
      <c r="G60" s="119">
        <f>$B60 * VLOOKUP(2025, tblCPI[], MATCH(INDEX(tblCPI_Map[CPI Region], MATCH($A60, tblCPI_Map[Census Division and State], 0)), tblCPI[[#Headers],[West]:[National]], 0)+1, FALSE) /VLOOKUP(2024, tblCPI[], MATCH(INDEX(tblCPI_Map[CPI Region], MATCH($A60, tblCPI_Map[Census Division and State], 0)), tblCPI[[#Headers],[West]:[National]], 0)+1, FALSE)</f>
        <v>32.825074712039523</v>
      </c>
      <c r="H60" s="76">
        <f t="shared" si="3"/>
        <v>32.54</v>
      </c>
      <c r="I60" s="70">
        <f t="shared" si="2"/>
        <v>-8.7607471431937322E-3</v>
      </c>
    </row>
    <row r="61" spans="1:9" x14ac:dyDescent="0.25">
      <c r="A61" s="25" t="s">
        <v>237</v>
      </c>
      <c r="B61" s="44">
        <v>14.7</v>
      </c>
      <c r="C61" s="26">
        <v>15.37</v>
      </c>
      <c r="D61" s="70">
        <f t="shared" si="1"/>
        <v>4.3591411841249185E-2</v>
      </c>
      <c r="E61" s="70"/>
      <c r="F61" s="44"/>
      <c r="G61" s="119">
        <f>$B61 * VLOOKUP(2025, tblCPI[], MATCH(INDEX(tblCPI_Map[CPI Region], MATCH($A61, tblCPI_Map[Census Division and State], 0)), tblCPI[[#Headers],[West]:[National]], 0)+1, FALSE) /VLOOKUP(2024, tblCPI[], MATCH(INDEX(tblCPI_Map[CPI Region], MATCH($A61, tblCPI_Map[Census Division and State], 0)), tblCPI[[#Headers],[West]:[National]], 0)+1, FALSE)</f>
        <v>15.093168541350673</v>
      </c>
      <c r="H61" s="76">
        <f t="shared" si="3"/>
        <v>15.37</v>
      </c>
      <c r="I61" s="70">
        <f t="shared" si="2"/>
        <v>1.8011155409845551E-2</v>
      </c>
    </row>
    <row r="62" spans="1:9" x14ac:dyDescent="0.25">
      <c r="A62" s="25" t="s">
        <v>238</v>
      </c>
      <c r="B62" s="44">
        <v>11.9</v>
      </c>
      <c r="C62" s="26">
        <v>13.11</v>
      </c>
      <c r="D62" s="70">
        <f t="shared" si="1"/>
        <v>9.2295957284515576E-2</v>
      </c>
      <c r="E62" s="70"/>
      <c r="F62" s="44"/>
      <c r="G62" s="119">
        <f>$B62 * VLOOKUP(2025, tblCPI[], MATCH(INDEX(tblCPI_Map[CPI Region], MATCH($A62, tblCPI_Map[Census Division and State], 0)), tblCPI[[#Headers],[West]:[National]], 0)+1, FALSE) /VLOOKUP(2024, tblCPI[], MATCH(INDEX(tblCPI_Map[CPI Region], MATCH($A62, tblCPI_Map[Census Division and State], 0)), tblCPI[[#Headers],[West]:[National]], 0)+1, FALSE)</f>
        <v>12.218279295379117</v>
      </c>
      <c r="H62" s="76">
        <f t="shared" si="3"/>
        <v>13.11</v>
      </c>
      <c r="I62" s="70">
        <f t="shared" si="2"/>
        <v>6.8018360382981077E-2</v>
      </c>
    </row>
    <row r="63" spans="1:9" x14ac:dyDescent="0.25">
      <c r="A63" s="60" t="s">
        <v>239</v>
      </c>
      <c r="B63" s="44">
        <v>34.950000000000003</v>
      </c>
      <c r="C63" s="26">
        <v>34.4</v>
      </c>
      <c r="D63" s="70">
        <f t="shared" si="1"/>
        <v>-1.5988372093023381E-2</v>
      </c>
      <c r="E63" s="70"/>
      <c r="F63" s="44"/>
      <c r="G63" s="119">
        <f>$B63 * VLOOKUP(2025, tblCPI[], MATCH(INDEX(tblCPI_Map[CPI Region], MATCH($A63, tblCPI_Map[Census Division and State], 0)), tblCPI[[#Headers],[West]:[National]], 0)+1, FALSE) /VLOOKUP(2024, tblCPI[], MATCH(INDEX(tblCPI_Map[CPI Region], MATCH($A63, tblCPI_Map[Census Division and State], 0)), tblCPI[[#Headers],[West]:[National]], 0)+1, FALSE)</f>
        <v>35.884778266680691</v>
      </c>
      <c r="H63" s="76">
        <f t="shared" si="3"/>
        <v>34.4</v>
      </c>
      <c r="I63" s="70">
        <f t="shared" si="2"/>
        <v>-4.3162158915136403E-2</v>
      </c>
    </row>
    <row r="64" spans="1:9" x14ac:dyDescent="0.25">
      <c r="A64" s="25" t="s">
        <v>240</v>
      </c>
      <c r="B64" s="44">
        <v>24.82</v>
      </c>
      <c r="C64" s="26">
        <v>26.09</v>
      </c>
      <c r="D64" s="70">
        <f t="shared" si="1"/>
        <v>4.8677654273668054E-2</v>
      </c>
      <c r="E64" s="70"/>
      <c r="F64" s="44"/>
      <c r="G64" s="119">
        <f>$B64 * VLOOKUP(2025, tblCPI[], MATCH(INDEX(tblCPI_Map[CPI Region], MATCH($A64, tblCPI_Map[Census Division and State], 0)), tblCPI[[#Headers],[West]:[National]], 0)+1, FALSE) /VLOOKUP(2024, tblCPI[], MATCH(INDEX(tblCPI_Map[CPI Region], MATCH($A64, tblCPI_Map[Census Division and State], 0)), tblCPI[[#Headers],[West]:[National]], 0)+1, FALSE)</f>
        <v>25.483839673219304</v>
      </c>
      <c r="H64" s="76">
        <f t="shared" si="3"/>
        <v>26.09</v>
      </c>
      <c r="I64" s="70">
        <f t="shared" si="2"/>
        <v>2.3233435292475887E-2</v>
      </c>
    </row>
    <row r="65" spans="1:9" x14ac:dyDescent="0.25">
      <c r="A65" s="25" t="s">
        <v>241</v>
      </c>
      <c r="B65" s="44">
        <v>42.86</v>
      </c>
      <c r="C65" s="26">
        <v>40.590000000000003</v>
      </c>
      <c r="D65" s="70">
        <f t="shared" si="1"/>
        <v>-5.5925104705592407E-2</v>
      </c>
      <c r="E65" s="70"/>
      <c r="F65" s="44"/>
      <c r="G65" s="119">
        <f>$B65 * VLOOKUP(2025, tblCPI[], MATCH(INDEX(tblCPI_Map[CPI Region], MATCH($A65, tblCPI_Map[Census Division and State], 0)), tblCPI[[#Headers],[West]:[National]], 0)+1, FALSE) /VLOOKUP(2024, tblCPI[], MATCH(INDEX(tblCPI_Map[CPI Region], MATCH($A65, tblCPI_Map[Census Division and State], 0)), tblCPI[[#Headers],[West]:[National]], 0)+1, FALSE)</f>
        <v>44.006340386550335</v>
      </c>
      <c r="H65" s="76">
        <f t="shared" si="3"/>
        <v>40.590000000000003</v>
      </c>
      <c r="I65" s="70">
        <f t="shared" si="2"/>
        <v>-8.4167045739106452E-2</v>
      </c>
    </row>
    <row r="66" spans="1:9" x14ac:dyDescent="0.25">
      <c r="A66" s="60" t="s">
        <v>242</v>
      </c>
      <c r="B66" s="44">
        <v>16.48</v>
      </c>
      <c r="C66" s="26">
        <v>17.3</v>
      </c>
      <c r="D66" s="70">
        <f t="shared" si="1"/>
        <v>4.7398843930635856E-2</v>
      </c>
      <c r="E66" s="70"/>
      <c r="F66" s="44"/>
      <c r="G66" s="119">
        <f>$B66 * VLOOKUP(2025, tblCPI[], MATCH(INDEX(tblCPI_Map[CPI Region], MATCH($A66, tblCPI_Map[Census Division and State], 0)), tblCPI[[#Headers],[West]:[National]], 0)+1, FALSE) /VLOOKUP(2024, tblCPI[], MATCH(INDEX(tblCPI_Map[CPI Region], MATCH($A66, tblCPI_Map[Census Division and State], 0)), tblCPI[[#Headers],[West]:[National]], 0)+1, FALSE)</f>
        <v>16.913633056944935</v>
      </c>
      <c r="H66" s="76">
        <f t="shared" si="3"/>
        <v>17.3</v>
      </c>
      <c r="I66" s="70">
        <f t="shared" si="2"/>
        <v>2.2333349309541374E-2</v>
      </c>
    </row>
    <row r="68" spans="1:9" x14ac:dyDescent="0.25">
      <c r="I68" s="72"/>
    </row>
    <row r="69" spans="1:9" x14ac:dyDescent="0.25">
      <c r="A69" t="s">
        <v>197</v>
      </c>
      <c r="B69"/>
      <c r="C69" s="28" t="s">
        <v>356</v>
      </c>
      <c r="D69" s="28"/>
      <c r="E69" s="28"/>
    </row>
    <row r="70" spans="1:9" x14ac:dyDescent="0.25">
      <c r="A70"/>
      <c r="B70"/>
      <c r="C70" s="28" t="s">
        <v>442</v>
      </c>
      <c r="D70" s="28"/>
      <c r="E70" s="28"/>
    </row>
    <row r="71" spans="1:9" x14ac:dyDescent="0.25">
      <c r="A71"/>
      <c r="B71"/>
      <c r="C71" s="28"/>
      <c r="D71" s="28"/>
      <c r="E71" s="28"/>
    </row>
    <row r="72" spans="1:9" x14ac:dyDescent="0.25">
      <c r="A72" t="s">
        <v>205</v>
      </c>
      <c r="B72"/>
      <c r="C72" s="28" t="s">
        <v>357</v>
      </c>
      <c r="D72" s="28"/>
      <c r="E72" s="28"/>
    </row>
    <row r="76" spans="1:9" x14ac:dyDescent="0.25">
      <c r="C76" s="28"/>
      <c r="D76" s="28"/>
      <c r="E76" s="28"/>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B445-DA9D-4A4E-BC8B-D17E444E10FD}">
  <sheetPr>
    <tabColor theme="7" tint="0.59999389629810485"/>
  </sheetPr>
  <dimension ref="A1:I22"/>
  <sheetViews>
    <sheetView workbookViewId="0">
      <selection activeCell="G11" sqref="G11"/>
    </sheetView>
  </sheetViews>
  <sheetFormatPr defaultRowHeight="15" x14ac:dyDescent="0.25"/>
  <cols>
    <col min="1" max="1" width="21.140625" style="25" customWidth="1"/>
    <col min="2" max="3" width="23.85546875" style="25" customWidth="1"/>
    <col min="4" max="4" width="10.85546875" style="25" customWidth="1"/>
    <col min="5" max="5" width="5.5703125" style="25" customWidth="1"/>
    <col min="6" max="6" width="6.140625" style="25" customWidth="1"/>
    <col min="7" max="8" width="25.42578125" customWidth="1"/>
    <col min="9" max="9" width="11.5703125" customWidth="1"/>
  </cols>
  <sheetData>
    <row r="1" spans="1:9" x14ac:dyDescent="0.25">
      <c r="A1" s="59" t="s">
        <v>62</v>
      </c>
      <c r="B1" s="59"/>
    </row>
    <row r="2" spans="1:9" x14ac:dyDescent="0.25">
      <c r="A2" s="28" t="s">
        <v>63</v>
      </c>
      <c r="B2" s="28"/>
    </row>
    <row r="4" spans="1:9" x14ac:dyDescent="0.25">
      <c r="A4" s="33" t="s">
        <v>447</v>
      </c>
      <c r="B4" s="198" t="s">
        <v>448</v>
      </c>
      <c r="C4" s="198" t="s">
        <v>449</v>
      </c>
    </row>
    <row r="5" spans="1:9" x14ac:dyDescent="0.25">
      <c r="A5" t="s">
        <v>450</v>
      </c>
      <c r="B5" s="71">
        <v>21</v>
      </c>
      <c r="C5" s="71">
        <v>4</v>
      </c>
      <c r="I5" s="72"/>
    </row>
    <row r="6" spans="1:9" x14ac:dyDescent="0.25">
      <c r="A6" t="s">
        <v>451</v>
      </c>
      <c r="B6" s="71">
        <v>16</v>
      </c>
      <c r="C6" s="71">
        <v>0</v>
      </c>
      <c r="D6" s="28"/>
      <c r="E6" s="28"/>
    </row>
    <row r="7" spans="1:9" x14ac:dyDescent="0.25">
      <c r="A7" s="28" t="s">
        <v>452</v>
      </c>
      <c r="B7" s="30">
        <v>11</v>
      </c>
      <c r="C7" s="30">
        <v>0</v>
      </c>
    </row>
    <row r="8" spans="1:9" x14ac:dyDescent="0.25">
      <c r="A8" t="s">
        <v>453</v>
      </c>
      <c r="B8" s="71">
        <v>11</v>
      </c>
      <c r="C8" s="71">
        <v>0</v>
      </c>
      <c r="D8" s="28"/>
      <c r="E8" s="28"/>
    </row>
    <row r="9" spans="1:9" x14ac:dyDescent="0.25">
      <c r="A9" t="s">
        <v>454</v>
      </c>
      <c r="B9" s="30">
        <v>9</v>
      </c>
      <c r="C9" s="30">
        <v>0</v>
      </c>
      <c r="D9" s="28"/>
      <c r="E9" s="28"/>
    </row>
    <row r="10" spans="1:9" x14ac:dyDescent="0.25">
      <c r="A10" t="s">
        <v>455</v>
      </c>
      <c r="B10" s="71">
        <v>7</v>
      </c>
      <c r="C10" s="71">
        <v>0</v>
      </c>
      <c r="D10" s="28"/>
      <c r="E10" s="28"/>
    </row>
    <row r="11" spans="1:9" x14ac:dyDescent="0.25">
      <c r="A11" s="28" t="s">
        <v>456</v>
      </c>
      <c r="B11" s="30">
        <v>6</v>
      </c>
      <c r="C11" s="30">
        <v>0</v>
      </c>
    </row>
    <row r="12" spans="1:9" x14ac:dyDescent="0.25">
      <c r="A12" t="s">
        <v>457</v>
      </c>
      <c r="B12" s="30">
        <v>5</v>
      </c>
      <c r="C12" s="30">
        <v>0</v>
      </c>
    </row>
    <row r="13" spans="1:9" x14ac:dyDescent="0.25">
      <c r="A13" t="s">
        <v>458</v>
      </c>
      <c r="B13" s="71">
        <v>2</v>
      </c>
      <c r="C13" s="71">
        <v>0</v>
      </c>
    </row>
    <row r="14" spans="1:9" x14ac:dyDescent="0.25">
      <c r="A14" s="28" t="s">
        <v>459</v>
      </c>
      <c r="B14" s="30">
        <v>2</v>
      </c>
      <c r="C14" s="30">
        <v>2</v>
      </c>
    </row>
    <row r="17" spans="1:2" x14ac:dyDescent="0.25">
      <c r="A17" t="s">
        <v>197</v>
      </c>
      <c r="B17" s="28" t="s">
        <v>460</v>
      </c>
    </row>
    <row r="18" spans="1:2" x14ac:dyDescent="0.25">
      <c r="A18"/>
      <c r="B18" s="28"/>
    </row>
    <row r="19" spans="1:2" x14ac:dyDescent="0.25">
      <c r="A19" t="s">
        <v>205</v>
      </c>
      <c r="B19" s="28" t="s">
        <v>461</v>
      </c>
    </row>
    <row r="20" spans="1:2" x14ac:dyDescent="0.25">
      <c r="B20" t="s">
        <v>462</v>
      </c>
    </row>
    <row r="21" spans="1:2" x14ac:dyDescent="0.25">
      <c r="B21" t="s">
        <v>463</v>
      </c>
    </row>
    <row r="22" spans="1:2" x14ac:dyDescent="0.25">
      <c r="B22" s="28" t="s">
        <v>464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5EE0F-DF2C-4967-BF82-7BC9F2FE9B56}">
  <sheetPr>
    <tabColor theme="7" tint="0.59999389629810485"/>
  </sheetPr>
  <dimension ref="A1:Q20"/>
  <sheetViews>
    <sheetView workbookViewId="0">
      <selection activeCell="C39" sqref="C39"/>
    </sheetView>
  </sheetViews>
  <sheetFormatPr defaultRowHeight="15" x14ac:dyDescent="0.25"/>
  <cols>
    <col min="1" max="1" width="18.140625" style="25" customWidth="1"/>
    <col min="2" max="2" width="26.5703125" style="25" customWidth="1"/>
    <col min="3" max="3" width="26.42578125" style="25" customWidth="1"/>
    <col min="4" max="4" width="10.85546875" style="25" customWidth="1"/>
    <col min="5" max="5" width="5.5703125" style="25" customWidth="1"/>
    <col min="6" max="6" width="6.140625" style="25" customWidth="1"/>
    <col min="7" max="8" width="25.42578125" customWidth="1"/>
    <col min="9" max="9" width="11.5703125" customWidth="1"/>
  </cols>
  <sheetData>
    <row r="1" spans="1:9" x14ac:dyDescent="0.25">
      <c r="A1" s="59" t="s">
        <v>64</v>
      </c>
      <c r="B1" s="59"/>
    </row>
    <row r="2" spans="1:9" x14ac:dyDescent="0.25">
      <c r="A2" s="28" t="s">
        <v>65</v>
      </c>
      <c r="B2" s="28"/>
    </row>
    <row r="4" spans="1:9" ht="31.5" customHeight="1" x14ac:dyDescent="0.25">
      <c r="A4" s="78"/>
      <c r="B4" s="75" t="s">
        <v>465</v>
      </c>
      <c r="C4" s="75" t="s">
        <v>466</v>
      </c>
    </row>
    <row r="5" spans="1:9" x14ac:dyDescent="0.25">
      <c r="A5" s="74" t="s">
        <v>467</v>
      </c>
      <c r="B5" s="78">
        <v>9.41</v>
      </c>
      <c r="C5" s="77">
        <v>0.18259420134658</v>
      </c>
      <c r="I5" s="72"/>
    </row>
    <row r="6" spans="1:9" x14ac:dyDescent="0.25">
      <c r="A6" s="74" t="s">
        <v>468</v>
      </c>
      <c r="B6" s="78">
        <v>4.0199999999999996</v>
      </c>
      <c r="C6" s="187">
        <v>0.39961924977612684</v>
      </c>
      <c r="D6" s="28"/>
      <c r="E6" s="28"/>
    </row>
    <row r="7" spans="1:9" x14ac:dyDescent="0.25">
      <c r="A7"/>
      <c r="B7" s="71"/>
      <c r="C7" s="71"/>
      <c r="D7" s="28"/>
      <c r="E7" s="28"/>
    </row>
    <row r="9" spans="1:9" x14ac:dyDescent="0.25">
      <c r="A9" t="s">
        <v>197</v>
      </c>
      <c r="B9" t="s">
        <v>469</v>
      </c>
      <c r="C9" s="28"/>
    </row>
    <row r="10" spans="1:9" x14ac:dyDescent="0.25">
      <c r="A10"/>
      <c r="B10" t="s">
        <v>470</v>
      </c>
      <c r="C10" s="28"/>
    </row>
    <row r="11" spans="1:9" x14ac:dyDescent="0.25">
      <c r="B11" t="s">
        <v>471</v>
      </c>
      <c r="C11"/>
    </row>
    <row r="12" spans="1:9" x14ac:dyDescent="0.25">
      <c r="C12"/>
    </row>
    <row r="13" spans="1:9" x14ac:dyDescent="0.25">
      <c r="A13" t="s">
        <v>205</v>
      </c>
      <c r="B13" s="28" t="s">
        <v>206</v>
      </c>
    </row>
    <row r="20" spans="8:17" x14ac:dyDescent="0.25">
      <c r="H20" s="162"/>
      <c r="I20" s="162"/>
      <c r="J20" s="162"/>
      <c r="K20" s="162"/>
      <c r="L20" s="162"/>
      <c r="M20" s="162"/>
      <c r="N20" s="162"/>
      <c r="O20" s="162"/>
      <c r="P20" s="162"/>
      <c r="Q20" s="162"/>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E3709-8C88-4015-84CF-C4227D2180AE}">
  <sheetPr>
    <tabColor theme="7" tint="0.59999389629810485"/>
  </sheetPr>
  <dimension ref="A1:W40"/>
  <sheetViews>
    <sheetView workbookViewId="0">
      <selection activeCell="K45" sqref="K45"/>
    </sheetView>
  </sheetViews>
  <sheetFormatPr defaultRowHeight="15" x14ac:dyDescent="0.25"/>
  <cols>
    <col min="1" max="1" width="12.5703125" style="25" customWidth="1"/>
    <col min="2" max="5" width="11.5703125" style="25" customWidth="1"/>
    <col min="6" max="10" width="11.5703125" customWidth="1"/>
    <col min="11" max="11" width="15.85546875" customWidth="1"/>
    <col min="12" max="22" width="11.5703125" customWidth="1"/>
    <col min="23" max="23" width="16.28515625" customWidth="1"/>
  </cols>
  <sheetData>
    <row r="1" spans="1:23" x14ac:dyDescent="0.25">
      <c r="A1" s="59" t="s">
        <v>66</v>
      </c>
      <c r="B1" s="59"/>
    </row>
    <row r="2" spans="1:23" x14ac:dyDescent="0.25">
      <c r="A2" s="28" t="s">
        <v>67</v>
      </c>
      <c r="B2" s="28"/>
    </row>
    <row r="3" spans="1:23" x14ac:dyDescent="0.25">
      <c r="A3" s="28"/>
      <c r="B3" s="28"/>
    </row>
    <row r="4" spans="1:23" x14ac:dyDescent="0.25">
      <c r="A4" s="28"/>
      <c r="B4" s="28"/>
    </row>
    <row r="5" spans="1:23" x14ac:dyDescent="0.25">
      <c r="A5" s="28" t="s">
        <v>472</v>
      </c>
      <c r="M5" s="28" t="s">
        <v>473</v>
      </c>
      <c r="N5" s="25"/>
      <c r="O5" s="25"/>
      <c r="P5" s="25"/>
      <c r="Q5" s="25"/>
    </row>
    <row r="6" spans="1:23" ht="30" customHeight="1" x14ac:dyDescent="0.25">
      <c r="A6" s="147" t="s">
        <v>158</v>
      </c>
      <c r="B6" s="27" t="s">
        <v>163</v>
      </c>
      <c r="C6" s="27" t="s">
        <v>474</v>
      </c>
      <c r="D6" s="27" t="s">
        <v>475</v>
      </c>
      <c r="E6" s="27" t="s">
        <v>476</v>
      </c>
      <c r="F6" s="27" t="s">
        <v>477</v>
      </c>
      <c r="G6" s="27" t="s">
        <v>478</v>
      </c>
      <c r="H6" s="27" t="s">
        <v>479</v>
      </c>
      <c r="I6" s="27" t="s">
        <v>480</v>
      </c>
      <c r="J6" s="43" t="s">
        <v>481</v>
      </c>
      <c r="K6" s="43" t="s">
        <v>482</v>
      </c>
      <c r="M6" s="147" t="s">
        <v>158</v>
      </c>
      <c r="N6" s="27" t="s">
        <v>163</v>
      </c>
      <c r="O6" s="27" t="s">
        <v>474</v>
      </c>
      <c r="P6" s="27" t="s">
        <v>475</v>
      </c>
      <c r="Q6" s="27" t="s">
        <v>476</v>
      </c>
      <c r="R6" s="27" t="s">
        <v>477</v>
      </c>
      <c r="S6" s="27" t="s">
        <v>478</v>
      </c>
      <c r="T6" s="27" t="s">
        <v>479</v>
      </c>
      <c r="U6" s="27" t="s">
        <v>480</v>
      </c>
      <c r="V6" s="43" t="s">
        <v>481</v>
      </c>
      <c r="W6" s="43" t="s">
        <v>482</v>
      </c>
    </row>
    <row r="7" spans="1:23" x14ac:dyDescent="0.25">
      <c r="A7" s="146">
        <v>2010</v>
      </c>
      <c r="B7" s="128">
        <v>4.1707503379139901</v>
      </c>
      <c r="C7" s="128">
        <v>4.1046181515119597</v>
      </c>
      <c r="D7" s="128">
        <v>3.9222570215359398</v>
      </c>
      <c r="E7" s="128">
        <v>3.3722029826847604</v>
      </c>
      <c r="F7" s="128">
        <v>3.2024271458350597</v>
      </c>
      <c r="G7" s="128">
        <v>4.8340582253116802</v>
      </c>
      <c r="H7" s="128">
        <v>5.2277366856468497</v>
      </c>
      <c r="I7" s="128">
        <v>5.2731472950097693</v>
      </c>
      <c r="J7" s="128">
        <v>5.27</v>
      </c>
      <c r="K7" s="128">
        <f>'National average retail price'!C5</f>
        <v>9.83</v>
      </c>
      <c r="M7" s="146">
        <v>2010</v>
      </c>
      <c r="N7" s="44">
        <f>B7*'Inflation adjustment'!$F$20/'Inflation adjustment'!$F5</f>
        <v>6.1577937595803078</v>
      </c>
      <c r="O7" s="44">
        <f>C7*'Inflation adjustment'!$F$20/'Inflation adjustment'!$F5</f>
        <v>6.0601546462936806</v>
      </c>
      <c r="P7" s="44">
        <f>D7*'Inflation adjustment'!$F$20/'Inflation adjustment'!$F5</f>
        <v>5.7909123907819318</v>
      </c>
      <c r="Q7" s="44">
        <f>E7*'Inflation adjustment'!$F$20/'Inflation adjustment'!$F5</f>
        <v>4.9787996884033445</v>
      </c>
      <c r="R7" s="44">
        <f>F7*'Inflation adjustment'!$F$20/'Inflation adjustment'!$F5</f>
        <v>4.7281386552609259</v>
      </c>
      <c r="S7" s="44">
        <f>G7*'Inflation adjustment'!$F$20/'Inflation adjustment'!$F5</f>
        <v>7.1371171040077694</v>
      </c>
      <c r="T7" s="44">
        <f>H7*'Inflation adjustment'!$F$20/'Inflation adjustment'!$F5</f>
        <v>7.7183532293869632</v>
      </c>
      <c r="U7" s="44">
        <f>I7*'Inflation adjustment'!$F$20/'Inflation adjustment'!$F5</f>
        <v>7.785398519634084</v>
      </c>
      <c r="V7" s="44">
        <f>J7*'Inflation adjustment'!$F$20/'Inflation adjustment'!$F5</f>
        <v>7.780751779359429</v>
      </c>
      <c r="W7" s="26">
        <f>'National average retail price'!B5</f>
        <v>14.513242882562276</v>
      </c>
    </row>
    <row r="8" spans="1:23" x14ac:dyDescent="0.25">
      <c r="A8" s="146">
        <v>2011</v>
      </c>
      <c r="B8" s="128">
        <v>4.1146243898633106</v>
      </c>
      <c r="C8" s="128">
        <v>3.2063998331288301</v>
      </c>
      <c r="D8" s="128">
        <v>5.08792358443936</v>
      </c>
      <c r="E8" s="128">
        <v>3.34137793559972</v>
      </c>
      <c r="F8" s="128">
        <v>3.0084172832793299</v>
      </c>
      <c r="G8" s="128">
        <v>4.5936970858498398</v>
      </c>
      <c r="H8" s="128">
        <v>4.8456912064321305</v>
      </c>
      <c r="I8" s="128">
        <v>4.9226467291878802</v>
      </c>
      <c r="J8" s="128">
        <v>4.8899999999999997</v>
      </c>
      <c r="K8" s="128">
        <f>'National average retail price'!C6</f>
        <v>9.9</v>
      </c>
      <c r="M8" s="146">
        <v>2011</v>
      </c>
      <c r="N8" s="44">
        <f>B8*'Inflation adjustment'!$F$20/'Inflation adjustment'!$F6</f>
        <v>5.8890388947481931</v>
      </c>
      <c r="O8" s="44">
        <f>C8*'Inflation adjustment'!$F$20/'Inflation adjustment'!$F6</f>
        <v>4.5891463084524915</v>
      </c>
      <c r="P8" s="44">
        <f>D8*'Inflation adjustment'!$F$20/'Inflation adjustment'!$F6</f>
        <v>7.2820692834286671</v>
      </c>
      <c r="Q8" s="44">
        <f>E8*'Inflation adjustment'!$F$20/'Inflation adjustment'!$F6</f>
        <v>4.7823331513022662</v>
      </c>
      <c r="R8" s="44">
        <f>F8*'Inflation adjustment'!$F$20/'Inflation adjustment'!$F6</f>
        <v>4.3057846146323993</v>
      </c>
      <c r="S8" s="44">
        <f>G8*'Inflation adjustment'!$F$20/'Inflation adjustment'!$F6</f>
        <v>6.5747096808901748</v>
      </c>
      <c r="T8" s="44">
        <f>H8*'Inflation adjustment'!$F$20/'Inflation adjustment'!$F6</f>
        <v>6.9353752087116032</v>
      </c>
      <c r="U8" s="44">
        <f>I8*'Inflation adjustment'!$F$20/'Inflation adjustment'!$F6</f>
        <v>7.0455174777825711</v>
      </c>
      <c r="V8" s="44">
        <f>J8*'Inflation adjustment'!$F$20/'Inflation adjustment'!$F6</f>
        <v>6.998791983604443</v>
      </c>
      <c r="W8" s="26">
        <f>'National average retail price'!B6</f>
        <v>14.16933346373906</v>
      </c>
    </row>
    <row r="9" spans="1:23" x14ac:dyDescent="0.25">
      <c r="A9" s="146">
        <v>2012</v>
      </c>
      <c r="B9" s="128">
        <v>3.15464440091014</v>
      </c>
      <c r="C9" s="128">
        <v>3.2273552420746396</v>
      </c>
      <c r="D9" s="128">
        <v>2.6404723733654101</v>
      </c>
      <c r="E9" s="128">
        <v>2.8946632289543799</v>
      </c>
      <c r="F9" s="128">
        <v>2.289624080861</v>
      </c>
      <c r="G9" s="128">
        <v>3.5238373840942101</v>
      </c>
      <c r="H9" s="128">
        <v>3.7942032244957096</v>
      </c>
      <c r="I9" s="128">
        <v>3.8535127161869802</v>
      </c>
      <c r="J9" s="128">
        <v>3.54</v>
      </c>
      <c r="K9" s="128">
        <f>'National average retail price'!C7</f>
        <v>9.84</v>
      </c>
      <c r="M9" s="146">
        <v>2012</v>
      </c>
      <c r="N9" s="44">
        <f>B9*'Inflation adjustment'!$F$20/'Inflation adjustment'!$F7</f>
        <v>4.4235288481502701</v>
      </c>
      <c r="O9" s="44">
        <f>C9*'Inflation adjustment'!$F$20/'Inflation adjustment'!$F7</f>
        <v>4.5254859826443008</v>
      </c>
      <c r="P9" s="44">
        <f>D9*'Inflation adjustment'!$F$20/'Inflation adjustment'!$F7</f>
        <v>3.7025427376080393</v>
      </c>
      <c r="Q9" s="44">
        <f>E9*'Inflation adjustment'!$F$20/'Inflation adjustment'!$F7</f>
        <v>4.0589761227177537</v>
      </c>
      <c r="R9" s="44">
        <f>F9*'Inflation adjustment'!$F$20/'Inflation adjustment'!$F7</f>
        <v>3.2105736450631679</v>
      </c>
      <c r="S9" s="44">
        <f>G9*'Inflation adjustment'!$F$20/'Inflation adjustment'!$F7</f>
        <v>4.9412213687964073</v>
      </c>
      <c r="T9" s="44">
        <f>H9*'Inflation adjustment'!$F$20/'Inflation adjustment'!$F7</f>
        <v>5.3203357609685886</v>
      </c>
      <c r="U9" s="44">
        <f>I9*'Inflation adjustment'!$F$20/'Inflation adjustment'!$F7</f>
        <v>5.4035011558986072</v>
      </c>
      <c r="V9" s="44">
        <f>J9*'Inflation adjustment'!$F$20/'Inflation adjustment'!$F7</f>
        <v>4.963885031838811</v>
      </c>
      <c r="W9" s="26">
        <f>'National average retail price'!B7</f>
        <v>13.797917715619745</v>
      </c>
    </row>
    <row r="10" spans="1:23" x14ac:dyDescent="0.25">
      <c r="A10" s="146">
        <v>2013</v>
      </c>
      <c r="B10" s="128">
        <v>3.74814940006992</v>
      </c>
      <c r="C10" s="128">
        <v>4.13021172730119</v>
      </c>
      <c r="D10" s="128">
        <v>3.2451768786851098</v>
      </c>
      <c r="E10" s="128">
        <v>3.2456744013652399</v>
      </c>
      <c r="F10" s="128">
        <v>2.6316479531833101</v>
      </c>
      <c r="G10" s="128">
        <v>3.8675672773338201</v>
      </c>
      <c r="H10" s="128">
        <v>5.0149411989975805</v>
      </c>
      <c r="I10" s="128">
        <v>6.0498898214012398</v>
      </c>
      <c r="J10" s="128">
        <v>4.49</v>
      </c>
      <c r="K10" s="128">
        <f>'National average retail price'!C8</f>
        <v>10.07</v>
      </c>
      <c r="M10" s="146">
        <v>2013</v>
      </c>
      <c r="N10" s="44">
        <f>B10*'Inflation adjustment'!$F$20/'Inflation adjustment'!$F8</f>
        <v>5.1798849672115894</v>
      </c>
      <c r="O10" s="44">
        <f>C10*'Inflation adjustment'!$F$20/'Inflation adjustment'!$F8</f>
        <v>5.707889241888104</v>
      </c>
      <c r="P10" s="44">
        <f>D10*'Inflation adjustment'!$F$20/'Inflation adjustment'!$F8</f>
        <v>4.4847846592054337</v>
      </c>
      <c r="Q10" s="44">
        <f>E10*'Inflation adjustment'!$F$20/'Inflation adjustment'!$F8</f>
        <v>4.4854722279164365</v>
      </c>
      <c r="R10" s="44">
        <f>F10*'Inflation adjustment'!$F$20/'Inflation adjustment'!$F8</f>
        <v>3.6368970968534726</v>
      </c>
      <c r="S10" s="44">
        <f>G10*'Inflation adjustment'!$F$20/'Inflation adjustment'!$F8</f>
        <v>5.3449186414947052</v>
      </c>
      <c r="T10" s="44">
        <f>H10*'Inflation adjustment'!$F$20/'Inflation adjustment'!$F8</f>
        <v>6.9305717983528199</v>
      </c>
      <c r="U10" s="44">
        <f>I10*'Inflation adjustment'!$F$20/'Inflation adjustment'!$F8</f>
        <v>8.3608549164497283</v>
      </c>
      <c r="V10" s="44">
        <f>J10*'Inflation adjustment'!$F$20/'Inflation adjustment'!$F8</f>
        <v>6.2051111149267886</v>
      </c>
      <c r="W10" s="26">
        <f>'National average retail price'!B8</f>
        <v>13.916585507196608</v>
      </c>
    </row>
    <row r="11" spans="1:23" x14ac:dyDescent="0.25">
      <c r="A11" s="146">
        <v>2014</v>
      </c>
      <c r="B11" s="128">
        <v>4.7001554518480297</v>
      </c>
      <c r="C11" s="128">
        <v>4.5883536115275296</v>
      </c>
      <c r="D11" s="128">
        <v>4.6583156827350596</v>
      </c>
      <c r="E11" s="128">
        <v>3.86740440640832</v>
      </c>
      <c r="F11" s="128">
        <v>3.2828850607674398</v>
      </c>
      <c r="G11" s="128">
        <v>5.3200976384280798</v>
      </c>
      <c r="H11" s="128">
        <v>5.7325541526604997</v>
      </c>
      <c r="I11" s="128">
        <v>6.895159144620381</v>
      </c>
      <c r="J11" s="128">
        <v>5.19</v>
      </c>
      <c r="K11" s="128">
        <f>'National average retail price'!C9</f>
        <v>10.44</v>
      </c>
      <c r="M11" s="146">
        <v>2014</v>
      </c>
      <c r="N11" s="44">
        <f>B11*'Inflation adjustment'!$F$20/'Inflation adjustment'!$F9</f>
        <v>6.3918548367561767</v>
      </c>
      <c r="O11" s="44">
        <f>C11*'Inflation adjustment'!$F$20/'Inflation adjustment'!$F9</f>
        <v>6.2398128157779444</v>
      </c>
      <c r="P11" s="44">
        <f>D11*'Inflation adjustment'!$F$20/'Inflation adjustment'!$F9</f>
        <v>6.3349559249407497</v>
      </c>
      <c r="Q11" s="44">
        <f>E11*'Inflation adjustment'!$F$20/'Inflation adjustment'!$F9</f>
        <v>5.2593765916984063</v>
      </c>
      <c r="R11" s="44">
        <f>F11*'Inflation adjustment'!$F$20/'Inflation adjustment'!$F9</f>
        <v>4.4644746262446429</v>
      </c>
      <c r="S11" s="44">
        <f>G11*'Inflation adjustment'!$F$20/'Inflation adjustment'!$F9</f>
        <v>7.234929178529887</v>
      </c>
      <c r="T11" s="44">
        <f>H11*'Inflation adjustment'!$F$20/'Inflation adjustment'!$F9</f>
        <v>7.7958387468318264</v>
      </c>
      <c r="U11" s="44">
        <f>I11*'Inflation adjustment'!$F$20/'Inflation adjustment'!$F9</f>
        <v>9.3768933347548309</v>
      </c>
      <c r="V11" s="44">
        <f>J11*'Inflation adjustment'!$F$20/'Inflation adjustment'!$F9</f>
        <v>7.0580062601378755</v>
      </c>
      <c r="W11" s="26">
        <f>'National average retail price'!B9</f>
        <v>14.19760796836983</v>
      </c>
    </row>
    <row r="12" spans="1:23" x14ac:dyDescent="0.25">
      <c r="A12" s="146">
        <v>2015</v>
      </c>
      <c r="B12" s="128">
        <v>3.18864809067676</v>
      </c>
      <c r="C12" s="128">
        <v>3.3114229226604004</v>
      </c>
      <c r="D12" s="128">
        <v>2.5948048606901399</v>
      </c>
      <c r="E12" s="128">
        <v>2.7310755802748399</v>
      </c>
      <c r="F12" s="128">
        <v>2.2847402704662598</v>
      </c>
      <c r="G12" s="128">
        <v>3.6194359907652598</v>
      </c>
      <c r="H12" s="128">
        <v>3.8330386984619302</v>
      </c>
      <c r="I12" s="128">
        <v>4.4884480574677701</v>
      </c>
      <c r="J12" s="128">
        <v>3.38</v>
      </c>
      <c r="K12" s="128">
        <f>'National average retail price'!C10</f>
        <v>10.41</v>
      </c>
      <c r="M12" s="146">
        <v>2015</v>
      </c>
      <c r="N12" s="44">
        <f>B12*'Inflation adjustment'!$F$20/'Inflation adjustment'!$F10</f>
        <v>4.331178490389922</v>
      </c>
      <c r="O12" s="44">
        <f>C12*'Inflation adjustment'!$F$20/'Inflation adjustment'!$F10</f>
        <v>4.4979449996838081</v>
      </c>
      <c r="P12" s="44">
        <f>D12*'Inflation adjustment'!$F$20/'Inflation adjustment'!$F10</f>
        <v>3.5245541934340818</v>
      </c>
      <c r="Q12" s="44">
        <f>E12*'Inflation adjustment'!$F$20/'Inflation adjustment'!$F10</f>
        <v>3.7096523267969079</v>
      </c>
      <c r="R12" s="44">
        <f>F12*'Inflation adjustment'!$F$20/'Inflation adjustment'!$F10</f>
        <v>3.1033897859424391</v>
      </c>
      <c r="S12" s="44">
        <f>G12*'Inflation adjustment'!$F$20/'Inflation adjustment'!$F10</f>
        <v>4.9163228003684969</v>
      </c>
      <c r="T12" s="44">
        <f>H12*'Inflation adjustment'!$F$20/'Inflation adjustment'!$F10</f>
        <v>5.2064618896489669</v>
      </c>
      <c r="U12" s="44">
        <f>I12*'Inflation adjustment'!$F$20/'Inflation adjustment'!$F10</f>
        <v>6.096712189274804</v>
      </c>
      <c r="V12" s="44">
        <f>J12*'Inflation adjustment'!$F$20/'Inflation adjustment'!$F10</f>
        <v>4.5910940565444669</v>
      </c>
      <c r="W12" s="26">
        <f>'National average retail price'!B10</f>
        <v>14.140026369416539</v>
      </c>
    </row>
    <row r="13" spans="1:23" x14ac:dyDescent="0.25">
      <c r="A13" s="146">
        <v>2016</v>
      </c>
      <c r="B13" s="128">
        <v>2.75552486089701</v>
      </c>
      <c r="C13" s="128">
        <v>3.0421734651135899</v>
      </c>
      <c r="D13" s="128">
        <v>2.3484160616995799</v>
      </c>
      <c r="E13" s="128">
        <v>2.6848114698673999</v>
      </c>
      <c r="F13" s="128">
        <v>2.3620035724957598</v>
      </c>
      <c r="G13" s="128">
        <v>2.925080594777</v>
      </c>
      <c r="H13" s="128">
        <v>3.0074006492779302</v>
      </c>
      <c r="I13" s="128">
        <v>3.1738933137570702</v>
      </c>
      <c r="J13" s="128">
        <v>2.99</v>
      </c>
      <c r="K13" s="128">
        <f>'National average retail price'!C11</f>
        <v>10.27</v>
      </c>
      <c r="M13" s="146">
        <v>2016</v>
      </c>
      <c r="N13" s="44">
        <f>B13*'Inflation adjustment'!$F$20/'Inflation adjustment'!$F11</f>
        <v>3.6962336110687022</v>
      </c>
      <c r="O13" s="44">
        <f>C13*'Inflation adjustment'!$F$20/'Inflation adjustment'!$F11</f>
        <v>4.0807411945445944</v>
      </c>
      <c r="P13" s="44">
        <f>D13*'Inflation adjustment'!$F$20/'Inflation adjustment'!$F11</f>
        <v>3.1501419214929056</v>
      </c>
      <c r="Q13" s="44">
        <f>E13*'Inflation adjustment'!$F$20/'Inflation adjustment'!$F11</f>
        <v>3.6013793724496379</v>
      </c>
      <c r="R13" s="44">
        <f>F13*'Inflation adjustment'!$F$20/'Inflation adjustment'!$F11</f>
        <v>3.1683680731812087</v>
      </c>
      <c r="S13" s="44">
        <f>G13*'Inflation adjustment'!$F$20/'Inflation adjustment'!$F11</f>
        <v>3.9236739841933428</v>
      </c>
      <c r="T13" s="44">
        <f>H13*'Inflation adjustment'!$F$20/'Inflation adjustment'!$F11</f>
        <v>4.0340972856228552</v>
      </c>
      <c r="U13" s="44">
        <f>I13*'Inflation adjustment'!$F$20/'Inflation adjustment'!$F11</f>
        <v>4.2574288879528197</v>
      </c>
      <c r="V13" s="44">
        <f>J13*'Inflation adjustment'!$F$20/'Inflation adjustment'!$F11</f>
        <v>4.010756227943352</v>
      </c>
      <c r="W13" s="26">
        <f>'National average retail price'!B11</f>
        <v>13.776075739457598</v>
      </c>
    </row>
    <row r="14" spans="1:23" x14ac:dyDescent="0.25">
      <c r="A14" s="146">
        <v>2017</v>
      </c>
      <c r="B14" s="128">
        <v>2.9883754812822598</v>
      </c>
      <c r="C14" s="128">
        <v>3.4119913830982198</v>
      </c>
      <c r="D14" s="128">
        <v>2.65851716615802</v>
      </c>
      <c r="E14" s="128">
        <v>2.9486037894408001</v>
      </c>
      <c r="F14" s="128">
        <v>2.44974065203917</v>
      </c>
      <c r="G14" s="128">
        <v>3.10047829554042</v>
      </c>
      <c r="H14" s="128">
        <v>3.12247262850055</v>
      </c>
      <c r="I14" s="128">
        <v>3.6325826601184801</v>
      </c>
      <c r="J14" s="128">
        <v>3.51</v>
      </c>
      <c r="K14" s="128">
        <f>'National average retail price'!C12</f>
        <v>10.48</v>
      </c>
      <c r="M14" s="146">
        <v>2017</v>
      </c>
      <c r="N14" s="44">
        <f>B14*'Inflation adjustment'!$F$20/'Inflation adjustment'!$F12</f>
        <v>3.9249615191353402</v>
      </c>
      <c r="O14" s="44">
        <f>C14*'Inflation adjustment'!$F$20/'Inflation adjustment'!$F12</f>
        <v>4.4813427784301165</v>
      </c>
      <c r="P14" s="44">
        <f>D14*'Inflation adjustment'!$F$20/'Inflation adjustment'!$F12</f>
        <v>3.4917223891335318</v>
      </c>
      <c r="Q14" s="44">
        <f>E14*'Inflation adjustment'!$F$20/'Inflation adjustment'!$F12</f>
        <v>3.8727249909592829</v>
      </c>
      <c r="R14" s="44">
        <f>F14*'Inflation adjustment'!$F$20/'Inflation adjustment'!$F12</f>
        <v>3.2175132781472198</v>
      </c>
      <c r="S14" s="44">
        <f>G14*'Inflation adjustment'!$F$20/'Inflation adjustment'!$F12</f>
        <v>4.0721984493357102</v>
      </c>
      <c r="T14" s="44">
        <f>H14*'Inflation adjustment'!$F$20/'Inflation adjustment'!$F12</f>
        <v>4.1010860208769282</v>
      </c>
      <c r="U14" s="44">
        <f>I14*'Inflation adjustment'!$F$20/'Inflation adjustment'!$F12</f>
        <v>4.771069514305335</v>
      </c>
      <c r="V14" s="44">
        <f>J14*'Inflation adjustment'!$F$20/'Inflation adjustment'!$F12</f>
        <v>4.610068252284595</v>
      </c>
      <c r="W14" s="26">
        <f>'National average retail price'!B12</f>
        <v>13.764534268929504</v>
      </c>
    </row>
    <row r="15" spans="1:23" x14ac:dyDescent="0.25">
      <c r="A15" s="146">
        <v>2018</v>
      </c>
      <c r="B15" s="128">
        <v>3.5343519594979904</v>
      </c>
      <c r="C15" s="128">
        <v>3.8546853050258401</v>
      </c>
      <c r="D15" s="128">
        <v>3.2932387077717999</v>
      </c>
      <c r="E15" s="128">
        <v>3.3037367698272595</v>
      </c>
      <c r="F15" s="128">
        <v>2.5549244561791</v>
      </c>
      <c r="G15" s="128">
        <v>3.8278901027454602</v>
      </c>
      <c r="H15" s="128">
        <v>3.9323495178320003</v>
      </c>
      <c r="I15" s="128">
        <v>4.7083167402239399</v>
      </c>
      <c r="J15" s="128">
        <v>3.68</v>
      </c>
      <c r="K15" s="128">
        <f>'National average retail price'!C13</f>
        <v>10.53</v>
      </c>
      <c r="M15" s="146">
        <v>2018</v>
      </c>
      <c r="N15" s="44">
        <f>B15*'Inflation adjustment'!$F$20/'Inflation adjustment'!$F13</f>
        <v>4.5313745650127695</v>
      </c>
      <c r="O15" s="44">
        <f>C15*'Inflation adjustment'!$F$20/'Inflation adjustment'!$F13</f>
        <v>4.9420723084419551</v>
      </c>
      <c r="P15" s="44">
        <f>D15*'Inflation adjustment'!$F$20/'Inflation adjustment'!$F13</f>
        <v>4.2222444985451482</v>
      </c>
      <c r="Q15" s="44">
        <f>E15*'Inflation adjustment'!$F$20/'Inflation adjustment'!$F13</f>
        <v>4.2357040101968382</v>
      </c>
      <c r="R15" s="44">
        <f>F15*'Inflation adjustment'!$F$20/'Inflation adjustment'!$F13</f>
        <v>3.2756555739014361</v>
      </c>
      <c r="S15" s="44">
        <f>G15*'Inflation adjustment'!$F$20/'Inflation adjustment'!$F13</f>
        <v>4.9077183166864389</v>
      </c>
      <c r="T15" s="44">
        <f>H15*'Inflation adjustment'!$F$20/'Inflation adjustment'!$F13</f>
        <v>5.041645198339304</v>
      </c>
      <c r="U15" s="44">
        <f>I15*'Inflation adjustment'!$F$20/'Inflation adjustment'!$F13</f>
        <v>6.0365088042066368</v>
      </c>
      <c r="V15" s="44">
        <f>J15*'Inflation adjustment'!$F$20/'Inflation adjustment'!$F13</f>
        <v>4.7181091725837989</v>
      </c>
      <c r="W15" s="26">
        <f>'National average retail price'!B13</f>
        <v>13.500459126985707</v>
      </c>
    </row>
    <row r="16" spans="1:23" x14ac:dyDescent="0.25">
      <c r="A16" s="146">
        <v>2019</v>
      </c>
      <c r="B16" s="128">
        <v>2.98360471642737</v>
      </c>
      <c r="C16" s="128">
        <v>3.7181907362201203</v>
      </c>
      <c r="D16" s="128">
        <v>4.45439223544588</v>
      </c>
      <c r="E16" s="128">
        <v>2.5132650488183801</v>
      </c>
      <c r="F16" s="128">
        <v>2.2065513189078301</v>
      </c>
      <c r="G16" s="128">
        <v>2.7326130678160698</v>
      </c>
      <c r="H16" s="128">
        <v>2.7942459359622798</v>
      </c>
      <c r="I16" s="128">
        <v>3.2447941045812798</v>
      </c>
      <c r="J16" s="128">
        <v>2.99</v>
      </c>
      <c r="K16" s="128">
        <f>'National average retail price'!C14</f>
        <v>10.54</v>
      </c>
      <c r="M16" s="146">
        <v>2019</v>
      </c>
      <c r="N16" s="44">
        <f>B16*'Inflation adjustment'!$F$20/'Inflation adjustment'!$F14</f>
        <v>3.7571850300237299</v>
      </c>
      <c r="O16" s="44">
        <f>C16*'Inflation adjustment'!$F$20/'Inflation adjustment'!$F14</f>
        <v>4.68223236676842</v>
      </c>
      <c r="P16" s="44">
        <f>D16*'Inflation adjustment'!$F$20/'Inflation adjustment'!$F14</f>
        <v>5.6093140397335217</v>
      </c>
      <c r="Q16" s="44">
        <f>E16*'Inflation adjustment'!$F$20/'Inflation adjustment'!$F14</f>
        <v>3.1648970676012613</v>
      </c>
      <c r="R16" s="44">
        <f>F16*'Inflation adjustment'!$F$20/'Inflation adjustment'!$F14</f>
        <v>2.7786594979333383</v>
      </c>
      <c r="S16" s="44">
        <f>G16*'Inflation adjustment'!$F$20/'Inflation adjustment'!$F14</f>
        <v>3.4411170000896076</v>
      </c>
      <c r="T16" s="44">
        <f>H16*'Inflation adjustment'!$F$20/'Inflation adjustment'!$F14</f>
        <v>3.5187298582143423</v>
      </c>
      <c r="U16" s="44">
        <f>I16*'Inflation adjustment'!$F$20/'Inflation adjustment'!$F14</f>
        <v>4.0860948396140566</v>
      </c>
      <c r="V16" s="44">
        <f>J16*'Inflation adjustment'!$F$20/'Inflation adjustment'!$F14</f>
        <v>3.7652384640357983</v>
      </c>
      <c r="W16" s="26">
        <f>'National average retail price'!B14</f>
        <v>13.272780404995753</v>
      </c>
    </row>
    <row r="17" spans="1:23" x14ac:dyDescent="0.25">
      <c r="A17" s="146">
        <v>2020</v>
      </c>
      <c r="B17" s="128">
        <v>2.2223205188533099</v>
      </c>
      <c r="C17" s="128">
        <v>3.1291792562721499</v>
      </c>
      <c r="D17" s="128">
        <v>2.2970603175959798</v>
      </c>
      <c r="E17" s="128">
        <v>2.0848070123586302</v>
      </c>
      <c r="F17" s="128">
        <v>1.7706274454122901</v>
      </c>
      <c r="G17" s="128">
        <v>2.1754014160938899</v>
      </c>
      <c r="H17" s="128">
        <v>2.1287584712866598</v>
      </c>
      <c r="I17" s="128">
        <v>2.4887980819914102</v>
      </c>
      <c r="J17" s="128">
        <v>2.4900000000000002</v>
      </c>
      <c r="K17" s="128">
        <f>'National average retail price'!C15</f>
        <v>10.59</v>
      </c>
      <c r="M17" s="146">
        <v>2020</v>
      </c>
      <c r="N17" s="44">
        <f>B17*'Inflation adjustment'!$F$20/'Inflation adjustment'!$F15</f>
        <v>2.7644131617326586</v>
      </c>
      <c r="O17" s="44">
        <f>C17*'Inflation adjustment'!$F$20/'Inflation adjustment'!$F15</f>
        <v>3.8924827665826598</v>
      </c>
      <c r="P17" s="44">
        <f>D17*'Inflation adjustment'!$F$20/'Inflation adjustment'!$F15</f>
        <v>2.8573843068022708</v>
      </c>
      <c r="Q17" s="44">
        <f>E17*'Inflation adjustment'!$F$20/'Inflation adjustment'!$F15</f>
        <v>2.5933558619215353</v>
      </c>
      <c r="R17" s="44">
        <f>F17*'Inflation adjustment'!$F$20/'Inflation adjustment'!$F15</f>
        <v>2.2025381906424726</v>
      </c>
      <c r="S17" s="44">
        <f>G17*'Inflation adjustment'!$F$20/'Inflation adjustment'!$F15</f>
        <v>2.7060490400389288</v>
      </c>
      <c r="T17" s="44">
        <f>H17*'Inflation adjustment'!$F$20/'Inflation adjustment'!$F15</f>
        <v>2.6480284397550378</v>
      </c>
      <c r="U17" s="44">
        <f>I17*'Inflation adjustment'!$F$20/'Inflation adjustment'!$F15</f>
        <v>3.0958928365122063</v>
      </c>
      <c r="V17" s="44">
        <f>J17*'Inflation adjustment'!$F$20/'Inflation adjustment'!$F15</f>
        <v>3.0973879394616155</v>
      </c>
      <c r="W17" s="26">
        <f>'National average retail price'!B15</f>
        <v>13.17322822445723</v>
      </c>
    </row>
    <row r="18" spans="1:23" x14ac:dyDescent="0.25">
      <c r="A18" s="146">
        <v>2021</v>
      </c>
      <c r="B18" s="128">
        <v>5.9713558298092995</v>
      </c>
      <c r="C18" s="128">
        <v>4.6771626526474899</v>
      </c>
      <c r="D18" s="128">
        <v>16.470944560276301</v>
      </c>
      <c r="E18" s="128">
        <v>3.9043886340285701</v>
      </c>
      <c r="F18" s="128">
        <v>4.3136775766318403</v>
      </c>
      <c r="G18" s="128">
        <v>3.9786864546224301</v>
      </c>
      <c r="H18" s="128">
        <v>3.9819342621693701</v>
      </c>
      <c r="I18" s="128">
        <v>4.7500516211893098</v>
      </c>
      <c r="J18" s="128">
        <v>5.43</v>
      </c>
      <c r="K18" s="128">
        <f>'National average retail price'!C16</f>
        <v>11.1</v>
      </c>
      <c r="M18" s="146">
        <v>2021</v>
      </c>
      <c r="N18" s="44">
        <f>B18*'Inflation adjustment'!$F$20/'Inflation adjustment'!$F16</f>
        <v>7.094645938355888</v>
      </c>
      <c r="O18" s="44">
        <f>C18*'Inflation adjustment'!$F$20/'Inflation adjustment'!$F16</f>
        <v>5.5569981026729547</v>
      </c>
      <c r="P18" s="44">
        <f>D18*'Inflation adjustment'!$F$20/'Inflation adjustment'!$F16</f>
        <v>19.569344593752195</v>
      </c>
      <c r="Q18" s="44">
        <f>E18*'Inflation adjustment'!$F$20/'Inflation adjustment'!$F16</f>
        <v>4.6388551869397343</v>
      </c>
      <c r="R18" s="44">
        <f>F18*'Inflation adjustment'!$F$20/'Inflation adjustment'!$F16</f>
        <v>5.1251367312011817</v>
      </c>
      <c r="S18" s="44">
        <f>G18*'Inflation adjustment'!$F$20/'Inflation adjustment'!$F16</f>
        <v>4.7271293990497423</v>
      </c>
      <c r="T18" s="44">
        <f>H18*'Inflation adjustment'!$F$20/'Inflation adjustment'!$F16</f>
        <v>4.7309881616621521</v>
      </c>
      <c r="U18" s="44">
        <f>I18*'Inflation adjustment'!$F$20/'Inflation adjustment'!$F16</f>
        <v>5.6435984392388452</v>
      </c>
      <c r="V18" s="44">
        <f>J18*'Inflation adjustment'!$F$20/'Inflation adjustment'!$F16</f>
        <v>6.4514539985976294</v>
      </c>
      <c r="W18" s="26">
        <f>'National average retail price'!B16</f>
        <v>13.188055135254823</v>
      </c>
    </row>
    <row r="19" spans="1:23" x14ac:dyDescent="0.25">
      <c r="A19" s="146">
        <v>2022</v>
      </c>
      <c r="B19" s="128">
        <v>7.2011640233394898</v>
      </c>
      <c r="C19" s="128">
        <v>8.429910023058131</v>
      </c>
      <c r="D19" s="128">
        <v>7.1859233376003004</v>
      </c>
      <c r="E19" s="128">
        <v>6.25666639887248</v>
      </c>
      <c r="F19" s="128">
        <v>4.9023479561924095</v>
      </c>
      <c r="G19" s="128">
        <v>8.0159179913595402</v>
      </c>
      <c r="H19" s="128">
        <v>8.1806021166833407</v>
      </c>
      <c r="I19" s="128">
        <v>9.1381141540387407</v>
      </c>
      <c r="J19" s="128">
        <v>7.51</v>
      </c>
      <c r="K19" s="128">
        <f>'National average retail price'!C17</f>
        <v>12.36</v>
      </c>
      <c r="M19" s="146">
        <v>2022</v>
      </c>
      <c r="N19" s="44">
        <f>B19*'Inflation adjustment'!$F$20/'Inflation adjustment'!$F17</f>
        <v>7.9218340679844381</v>
      </c>
      <c r="O19" s="44">
        <f>C19*'Inflation adjustment'!$F$20/'Inflation adjustment'!$F17</f>
        <v>9.2735491365375733</v>
      </c>
      <c r="P19" s="44">
        <f>D19*'Inflation adjustment'!$F$20/'Inflation adjustment'!$F17</f>
        <v>7.9050681419318094</v>
      </c>
      <c r="Q19" s="44">
        <f>E19*'Inflation adjustment'!$F$20/'Inflation adjustment'!$F17</f>
        <v>6.8828140658871462</v>
      </c>
      <c r="R19" s="44">
        <f>F19*'Inflation adjustment'!$F$20/'Inflation adjustment'!$F17</f>
        <v>5.3929596557737032</v>
      </c>
      <c r="S19" s="44">
        <f>G19*'Inflation adjustment'!$F$20/'Inflation adjustment'!$F17</f>
        <v>8.8181260729947031</v>
      </c>
      <c r="T19" s="44">
        <f>H19*'Inflation adjustment'!$F$20/'Inflation adjustment'!$F17</f>
        <v>8.9992912721511171</v>
      </c>
      <c r="U19" s="44">
        <f>I19*'Inflation adjustment'!$F$20/'Inflation adjustment'!$F17</f>
        <v>10.052628129004098</v>
      </c>
      <c r="V19" s="44">
        <f>J19*'Inflation adjustment'!$F$20/'Inflation adjustment'!$F17</f>
        <v>8.2615773863422799</v>
      </c>
      <c r="W19" s="26">
        <f>'National average retail price'!B17</f>
        <v>13.596950265671182</v>
      </c>
    </row>
    <row r="20" spans="1:23" x14ac:dyDescent="0.25">
      <c r="A20" s="146">
        <v>2023</v>
      </c>
      <c r="B20" s="128">
        <v>3.7960539642976001</v>
      </c>
      <c r="C20" s="128">
        <v>5.4967542153207605</v>
      </c>
      <c r="D20" s="128">
        <v>6.2409728006654399</v>
      </c>
      <c r="E20" s="128">
        <v>3.0672788366040402</v>
      </c>
      <c r="F20" s="128">
        <v>2.54112450269333</v>
      </c>
      <c r="G20" s="128">
        <v>3.1078590522873002</v>
      </c>
      <c r="H20" s="128">
        <v>3.1584394334833501</v>
      </c>
      <c r="I20" s="128">
        <v>3.8390684920684399</v>
      </c>
      <c r="J20" s="128">
        <v>3.5</v>
      </c>
      <c r="K20" s="128">
        <f>'National average retail price'!C18</f>
        <v>12.68</v>
      </c>
      <c r="M20" s="146">
        <v>2023</v>
      </c>
      <c r="N20" s="44">
        <f>B20*'Inflation adjustment'!$F$20/'Inflation adjustment'!$F18</f>
        <v>4.0108466679833485</v>
      </c>
      <c r="O20" s="44">
        <f>C20*'Inflation adjustment'!$F$20/'Inflation adjustment'!$F18</f>
        <v>5.8077779021568992</v>
      </c>
      <c r="P20" s="44">
        <f>D20*'Inflation adjustment'!$F$20/'Inflation adjustment'!$F18</f>
        <v>6.5941067218614702</v>
      </c>
      <c r="Q20" s="44">
        <f>E20*'Inflation adjustment'!$F$20/'Inflation adjustment'!$F18</f>
        <v>3.2408351454628277</v>
      </c>
      <c r="R20" s="44">
        <f>F20*'Inflation adjustment'!$F$20/'Inflation adjustment'!$F18</f>
        <v>2.6849093401769553</v>
      </c>
      <c r="S20" s="44">
        <f>G20*'Inflation adjustment'!$F$20/'Inflation adjustment'!$F18</f>
        <v>3.2837115177141278</v>
      </c>
      <c r="T20" s="44">
        <f>H20*'Inflation adjustment'!$F$20/'Inflation adjustment'!$F18</f>
        <v>3.3371538963772149</v>
      </c>
      <c r="U20" s="44">
        <f>I20*'Inflation adjustment'!$F$20/'Inflation adjustment'!$F18</f>
        <v>4.0562950933764457</v>
      </c>
      <c r="V20" s="44">
        <f>J20*'Inflation adjustment'!$F$20/'Inflation adjustment'!$F18</f>
        <v>3.6980410368162988</v>
      </c>
      <c r="W20" s="26">
        <f>'National average retail price'!B18</f>
        <v>13.397474384808762</v>
      </c>
    </row>
    <row r="21" spans="1:23" x14ac:dyDescent="0.25">
      <c r="A21" s="146">
        <v>2024</v>
      </c>
      <c r="B21" s="128">
        <v>3.1716058302148098</v>
      </c>
      <c r="C21" s="128">
        <v>3.4573688833852101</v>
      </c>
      <c r="D21" s="128">
        <v>2.8931119688553402</v>
      </c>
      <c r="E21" s="128">
        <v>2.9524669047213901</v>
      </c>
      <c r="F21" s="128">
        <v>2.5765786899896401</v>
      </c>
      <c r="G21" s="128">
        <v>3.3743677794642104</v>
      </c>
      <c r="H21" s="128">
        <v>3.8019507470226102</v>
      </c>
      <c r="I21" s="128">
        <v>4.2675459106554694</v>
      </c>
      <c r="J21" s="128">
        <v>2.87</v>
      </c>
      <c r="K21" s="128">
        <f>'National average retail price'!C19</f>
        <v>12.94</v>
      </c>
      <c r="M21" s="146">
        <v>2024</v>
      </c>
      <c r="N21" s="44">
        <f>B21*'Inflation adjustment'!$F$20/'Inflation adjustment'!$F19</f>
        <v>3.2550592969369228</v>
      </c>
      <c r="O21" s="44">
        <f>C21*'Inflation adjustment'!$F$20/'Inflation adjustment'!$F19</f>
        <v>3.5483415434512668</v>
      </c>
      <c r="P21" s="44">
        <f>D21*'Inflation adjustment'!$F$20/'Inflation adjustment'!$F19</f>
        <v>2.9692375141914273</v>
      </c>
      <c r="Q21" s="44">
        <f>E21*'Inflation adjustment'!$F$20/'Inflation adjustment'!$F19</f>
        <v>3.0301542378174511</v>
      </c>
      <c r="R21" s="44">
        <f>F21*'Inflation adjustment'!$F$20/'Inflation adjustment'!$F19</f>
        <v>2.644375394710476</v>
      </c>
      <c r="S21" s="44">
        <f>G21*'Inflation adjustment'!$F$20/'Inflation adjustment'!$F19</f>
        <v>3.4631564575871199</v>
      </c>
      <c r="T21" s="44">
        <f>H21*'Inflation adjustment'!$F$20/'Inflation adjustment'!$F19</f>
        <v>3.9019902812935747</v>
      </c>
      <c r="U21" s="44">
        <f>I21*'Inflation adjustment'!$F$20/'Inflation adjustment'!$F19</f>
        <v>4.3798365040347402</v>
      </c>
      <c r="V21" s="44">
        <f>J21*'Inflation adjustment'!$F$20/'Inflation adjustment'!$F19</f>
        <v>2.9455174073684445</v>
      </c>
      <c r="W21" s="26">
        <f>'National average retail price'!B19</f>
        <v>13.280486150295353</v>
      </c>
    </row>
    <row r="22" spans="1:23" x14ac:dyDescent="0.25">
      <c r="A22" s="146">
        <v>2025</v>
      </c>
      <c r="B22" s="128">
        <v>4.4002797920213297</v>
      </c>
      <c r="C22" s="128">
        <v>3.4365299730239203</v>
      </c>
      <c r="D22" s="128">
        <v>3.3264431650378397</v>
      </c>
      <c r="E22" s="128">
        <v>4.3363629229805705</v>
      </c>
      <c r="F22" s="128">
        <v>2.9025223076321702</v>
      </c>
      <c r="G22" s="128">
        <v>5.07458414568476</v>
      </c>
      <c r="H22" s="128">
        <v>6.6012084043861403</v>
      </c>
      <c r="I22" s="128">
        <v>7.2590220008604405</v>
      </c>
      <c r="J22" s="128">
        <v>4.0199999999999996</v>
      </c>
      <c r="K22" s="128">
        <f>'National average retail price'!C20</f>
        <v>13.63</v>
      </c>
      <c r="M22" s="146">
        <v>2025</v>
      </c>
      <c r="N22" s="44">
        <f>B22*'Inflation adjustment'!$F$20/'Inflation adjustment'!$F20</f>
        <v>4.4002797920213297</v>
      </c>
      <c r="O22" s="44">
        <f>C22*'Inflation adjustment'!$F$20/'Inflation adjustment'!$F20</f>
        <v>3.4365299730239203</v>
      </c>
      <c r="P22" s="44">
        <f>D22*'Inflation adjustment'!$F$20/'Inflation adjustment'!$F20</f>
        <v>3.3264431650378401</v>
      </c>
      <c r="Q22" s="44">
        <f>E22*'Inflation adjustment'!$F$20/'Inflation adjustment'!$F20</f>
        <v>4.3363629229805705</v>
      </c>
      <c r="R22" s="44">
        <f>F22*'Inflation adjustment'!$F$20/'Inflation adjustment'!$F20</f>
        <v>2.9025223076321702</v>
      </c>
      <c r="S22" s="44">
        <f>G22*'Inflation adjustment'!$F$20/'Inflation adjustment'!$F20</f>
        <v>5.07458414568476</v>
      </c>
      <c r="T22" s="44">
        <f>H22*'Inflation adjustment'!$F$20/'Inflation adjustment'!$F20</f>
        <v>6.6012084043861403</v>
      </c>
      <c r="U22" s="44">
        <f>I22*'Inflation adjustment'!$F$20/'Inflation adjustment'!$F20</f>
        <v>7.2590220008604405</v>
      </c>
      <c r="V22" s="44">
        <f>J22*'Inflation adjustment'!$F$20/'Inflation adjustment'!$F20</f>
        <v>4.0199999999999996</v>
      </c>
      <c r="W22" s="26">
        <f>'National average retail price'!B20</f>
        <v>13.63</v>
      </c>
    </row>
    <row r="23" spans="1:23" x14ac:dyDescent="0.25">
      <c r="A23" s="146"/>
      <c r="B23" s="128"/>
      <c r="C23" s="128"/>
      <c r="D23" s="128"/>
      <c r="E23" s="128"/>
      <c r="F23" s="128"/>
      <c r="G23" s="128"/>
      <c r="H23" s="128"/>
      <c r="I23" s="128"/>
      <c r="J23" s="128"/>
      <c r="K23" s="128"/>
      <c r="M23" s="146"/>
      <c r="N23" s="44"/>
      <c r="O23" s="44"/>
      <c r="P23" s="44"/>
      <c r="Q23" s="44"/>
      <c r="R23" s="44"/>
      <c r="S23" s="44"/>
      <c r="T23" s="44"/>
      <c r="U23" s="44"/>
      <c r="V23" s="44"/>
    </row>
    <row r="24" spans="1:23" x14ac:dyDescent="0.25">
      <c r="A24" s="146"/>
      <c r="B24" s="71"/>
      <c r="C24" s="71"/>
      <c r="D24" s="71"/>
      <c r="E24" s="71"/>
      <c r="F24" s="71"/>
      <c r="G24" s="71"/>
      <c r="H24" s="71"/>
      <c r="I24" s="71"/>
      <c r="J24" s="71"/>
      <c r="K24" s="71"/>
      <c r="V24" s="71"/>
    </row>
    <row r="25" spans="1:23" x14ac:dyDescent="0.25">
      <c r="A25" t="s">
        <v>197</v>
      </c>
      <c r="B25" s="152" t="s">
        <v>483</v>
      </c>
      <c r="C25" s="71"/>
      <c r="D25" s="71"/>
      <c r="E25" s="71"/>
      <c r="F25" s="71"/>
      <c r="G25" s="71"/>
      <c r="H25" s="71"/>
      <c r="I25" s="71"/>
      <c r="J25" s="71"/>
      <c r="K25" s="71"/>
      <c r="N25" s="76"/>
      <c r="O25" s="76"/>
      <c r="P25" s="76"/>
      <c r="Q25" s="76"/>
      <c r="R25" s="76"/>
      <c r="S25" s="76"/>
      <c r="T25" s="76"/>
      <c r="U25" s="76"/>
      <c r="V25" s="71"/>
    </row>
    <row r="26" spans="1:23" x14ac:dyDescent="0.25">
      <c r="A26"/>
      <c r="B26" s="152" t="s">
        <v>484</v>
      </c>
      <c r="C26" s="71"/>
      <c r="D26" s="71"/>
      <c r="E26" s="71"/>
      <c r="F26" s="71"/>
      <c r="G26" s="71"/>
      <c r="H26" s="71"/>
      <c r="I26" s="71"/>
      <c r="J26" s="71"/>
      <c r="K26" s="71"/>
      <c r="V26" s="71" t="s">
        <v>485</v>
      </c>
    </row>
    <row r="27" spans="1:23" x14ac:dyDescent="0.25">
      <c r="B27" s="71"/>
      <c r="C27" s="71"/>
      <c r="D27" s="71"/>
      <c r="E27" s="71"/>
      <c r="F27" s="71"/>
      <c r="G27" s="71"/>
      <c r="H27" s="71"/>
      <c r="I27" s="71"/>
      <c r="J27" s="71"/>
      <c r="K27" s="71"/>
      <c r="V27" s="71"/>
    </row>
    <row r="28" spans="1:23" x14ac:dyDescent="0.25">
      <c r="A28" t="s">
        <v>205</v>
      </c>
      <c r="B28" s="28" t="s">
        <v>486</v>
      </c>
      <c r="C28" s="71"/>
      <c r="D28" s="71"/>
      <c r="E28" s="71"/>
      <c r="F28" s="71"/>
      <c r="G28" s="71"/>
      <c r="H28" s="71"/>
      <c r="I28" s="71"/>
      <c r="J28" s="71"/>
      <c r="K28" s="71"/>
      <c r="V28" s="71"/>
    </row>
    <row r="29" spans="1:23" x14ac:dyDescent="0.25">
      <c r="B29" s="28" t="s">
        <v>487</v>
      </c>
      <c r="C29" s="71"/>
      <c r="D29" s="71"/>
      <c r="E29" s="71"/>
      <c r="F29" s="71"/>
      <c r="G29" s="71"/>
      <c r="H29" s="71"/>
      <c r="I29" s="71"/>
      <c r="J29" s="71"/>
      <c r="K29" s="71"/>
      <c r="V29" s="71"/>
    </row>
    <row r="30" spans="1:23" s="25" customFormat="1" x14ac:dyDescent="0.25">
      <c r="B30" s="28" t="s">
        <v>488</v>
      </c>
      <c r="C30" s="71"/>
      <c r="D30" s="71"/>
      <c r="E30" s="71"/>
      <c r="F30" s="71"/>
      <c r="G30" s="71"/>
      <c r="H30" s="71"/>
      <c r="I30" s="71"/>
      <c r="J30" s="71"/>
      <c r="K30" s="71"/>
      <c r="V30" s="71"/>
    </row>
    <row r="31" spans="1:23" x14ac:dyDescent="0.25">
      <c r="B31" s="71"/>
      <c r="C31" s="71"/>
      <c r="D31" s="71"/>
      <c r="E31" s="71"/>
      <c r="F31" s="71"/>
      <c r="G31" s="71"/>
      <c r="H31" s="71"/>
      <c r="I31" s="71"/>
      <c r="J31" s="71"/>
      <c r="K31" s="71"/>
      <c r="V31" s="71"/>
    </row>
    <row r="32" spans="1:23" x14ac:dyDescent="0.25">
      <c r="B32" s="71"/>
      <c r="C32" s="71"/>
      <c r="D32" s="71"/>
      <c r="E32" s="71"/>
      <c r="F32" s="71"/>
      <c r="G32" s="71"/>
      <c r="H32" s="71"/>
      <c r="I32" s="71"/>
      <c r="J32" s="71"/>
      <c r="K32" s="71"/>
      <c r="V32" s="71"/>
    </row>
    <row r="33" spans="2:22" x14ac:dyDescent="0.25">
      <c r="B33" s="71"/>
      <c r="C33" s="71"/>
      <c r="D33" s="71"/>
      <c r="E33" s="71"/>
      <c r="F33" s="71"/>
      <c r="G33" s="71"/>
      <c r="H33" s="71"/>
      <c r="I33" s="71"/>
      <c r="J33" s="71"/>
      <c r="K33" s="71"/>
      <c r="V33" s="71"/>
    </row>
    <row r="34" spans="2:22" x14ac:dyDescent="0.25">
      <c r="B34" s="71"/>
      <c r="C34" s="71"/>
      <c r="D34" s="71"/>
      <c r="E34" s="71"/>
      <c r="F34" s="71"/>
      <c r="G34" s="71"/>
      <c r="H34" s="71"/>
      <c r="I34" s="71"/>
      <c r="J34" s="71"/>
      <c r="K34" s="71"/>
      <c r="V34" s="71"/>
    </row>
    <row r="35" spans="2:22" x14ac:dyDescent="0.25">
      <c r="B35" s="71"/>
      <c r="C35" s="71"/>
      <c r="D35" s="71"/>
      <c r="E35" s="71"/>
      <c r="F35" s="71"/>
      <c r="G35" s="71"/>
      <c r="H35" s="71"/>
      <c r="I35" s="71"/>
      <c r="J35" s="71"/>
      <c r="K35" s="71"/>
      <c r="V35" s="71"/>
    </row>
    <row r="36" spans="2:22" x14ac:dyDescent="0.25">
      <c r="B36" s="71"/>
      <c r="C36" s="71"/>
      <c r="D36" s="71"/>
      <c r="E36" s="71"/>
      <c r="F36" s="71"/>
      <c r="G36" s="71"/>
      <c r="H36" s="71"/>
      <c r="I36" s="71"/>
      <c r="J36" s="71"/>
      <c r="K36" s="71"/>
      <c r="V36" s="71"/>
    </row>
    <row r="37" spans="2:22" x14ac:dyDescent="0.25">
      <c r="B37" s="71"/>
      <c r="C37" s="71"/>
      <c r="D37" s="71"/>
      <c r="E37" s="71"/>
      <c r="F37" s="71"/>
      <c r="G37" s="71"/>
      <c r="H37" s="71"/>
      <c r="I37" s="71"/>
      <c r="J37" s="71"/>
      <c r="K37" s="71"/>
      <c r="V37" s="71"/>
    </row>
    <row r="38" spans="2:22" x14ac:dyDescent="0.25">
      <c r="B38" s="71"/>
      <c r="C38" s="71"/>
      <c r="D38" s="71"/>
      <c r="E38" s="71"/>
      <c r="F38" s="71"/>
      <c r="G38" s="71"/>
      <c r="H38" s="71"/>
      <c r="I38" s="71"/>
      <c r="J38" s="71"/>
      <c r="K38" s="71"/>
      <c r="V38" s="71"/>
    </row>
    <row r="39" spans="2:22" x14ac:dyDescent="0.25">
      <c r="B39" s="71"/>
      <c r="C39" s="71"/>
      <c r="D39" s="71"/>
      <c r="E39" s="71"/>
      <c r="F39" s="71"/>
      <c r="G39" s="71"/>
      <c r="H39" s="71"/>
      <c r="I39" s="71"/>
      <c r="J39" s="71"/>
      <c r="K39" s="71"/>
      <c r="V39" s="71"/>
    </row>
    <row r="40" spans="2:22" x14ac:dyDescent="0.25">
      <c r="B40" s="71"/>
      <c r="C40" s="71"/>
      <c r="D40" s="71"/>
      <c r="E40" s="71"/>
      <c r="F40" s="71"/>
      <c r="G40" s="71"/>
      <c r="H40" s="71"/>
      <c r="I40" s="71"/>
      <c r="J40" s="71"/>
      <c r="K40" s="71"/>
      <c r="V40" s="71"/>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FE3BD-CCFF-4B6C-9353-BF32E23F1F82}">
  <sheetPr>
    <tabColor theme="7" tint="0.59999389629810485"/>
  </sheetPr>
  <dimension ref="A1:S35"/>
  <sheetViews>
    <sheetView workbookViewId="0">
      <selection activeCell="A16" sqref="A16"/>
    </sheetView>
  </sheetViews>
  <sheetFormatPr defaultRowHeight="15" x14ac:dyDescent="0.25"/>
  <cols>
    <col min="1" max="1" width="12.5703125" style="25" customWidth="1"/>
    <col min="2" max="3" width="18.5703125" style="25" customWidth="1"/>
    <col min="4" max="4" width="20.42578125" style="25" customWidth="1"/>
    <col min="5" max="5" width="5.5703125" style="25" customWidth="1"/>
    <col min="6" max="7" width="14.140625" customWidth="1"/>
    <col min="8" max="8" width="19.42578125" customWidth="1"/>
    <col min="9" max="10" width="11.5703125" customWidth="1"/>
    <col min="11" max="12" width="16.5703125" customWidth="1"/>
    <col min="13" max="13" width="20.5703125" customWidth="1"/>
    <col min="14" max="14" width="4.5703125" customWidth="1"/>
    <col min="15" max="16" width="14.140625" customWidth="1"/>
    <col min="17" max="17" width="18.42578125" customWidth="1"/>
    <col min="18" max="19" width="11.5703125" customWidth="1"/>
  </cols>
  <sheetData>
    <row r="1" spans="1:19" x14ac:dyDescent="0.25">
      <c r="A1" s="59" t="s">
        <v>489</v>
      </c>
      <c r="B1" s="59"/>
    </row>
    <row r="2" spans="1:19" x14ac:dyDescent="0.25">
      <c r="A2" s="28" t="s">
        <v>69</v>
      </c>
      <c r="B2" s="28"/>
    </row>
    <row r="3" spans="1:19" x14ac:dyDescent="0.25">
      <c r="A3" s="28"/>
      <c r="B3" s="28"/>
    </row>
    <row r="4" spans="1:19" x14ac:dyDescent="0.25">
      <c r="A4" s="28"/>
      <c r="B4" s="28"/>
    </row>
    <row r="5" spans="1:19" x14ac:dyDescent="0.25">
      <c r="A5" s="28" t="s">
        <v>472</v>
      </c>
      <c r="J5" s="28" t="s">
        <v>473</v>
      </c>
      <c r="K5" s="25"/>
      <c r="L5" s="25"/>
      <c r="M5" s="25"/>
      <c r="N5" s="25"/>
    </row>
    <row r="6" spans="1:19" s="31" customFormat="1" ht="30" customHeight="1" x14ac:dyDescent="0.25">
      <c r="A6" s="75" t="s">
        <v>490</v>
      </c>
      <c r="B6" s="43" t="s">
        <v>491</v>
      </c>
      <c r="C6" s="43" t="s">
        <v>492</v>
      </c>
      <c r="D6" s="43" t="s">
        <v>493</v>
      </c>
      <c r="E6" s="43"/>
      <c r="F6" s="43" t="s">
        <v>494</v>
      </c>
      <c r="G6" s="43" t="s">
        <v>495</v>
      </c>
      <c r="H6" s="43" t="s">
        <v>496</v>
      </c>
      <c r="J6" s="75" t="s">
        <v>490</v>
      </c>
      <c r="K6" s="43" t="s">
        <v>491</v>
      </c>
      <c r="L6" s="43" t="s">
        <v>492</v>
      </c>
      <c r="M6" s="43" t="s">
        <v>493</v>
      </c>
      <c r="N6" s="43"/>
      <c r="O6" s="43" t="s">
        <v>494</v>
      </c>
      <c r="P6" s="43" t="s">
        <v>495</v>
      </c>
      <c r="Q6" s="43" t="s">
        <v>496</v>
      </c>
      <c r="R6" s="43"/>
      <c r="S6" s="43"/>
    </row>
    <row r="7" spans="1:19" x14ac:dyDescent="0.25">
      <c r="A7" s="146" t="s">
        <v>163</v>
      </c>
      <c r="B7" s="44">
        <f>'Nat''l wholesale energy prices'!B21</f>
        <v>3.1716058302148098</v>
      </c>
      <c r="C7" s="44">
        <f>'Nat''l wholesale energy prices'!B22</f>
        <v>4.4002797920213297</v>
      </c>
      <c r="D7" s="44">
        <f>C7-B7</f>
        <v>1.2286739618065199</v>
      </c>
      <c r="E7" s="44"/>
      <c r="F7" s="44">
        <f>'Nat''l wholesale energy prices'!J21</f>
        <v>2.87</v>
      </c>
      <c r="G7" s="44">
        <f>'Nat''l wholesale energy prices'!J22</f>
        <v>4.0199999999999996</v>
      </c>
      <c r="H7" s="44">
        <f>G7-F7</f>
        <v>1.1499999999999995</v>
      </c>
      <c r="J7" s="146" t="s">
        <v>163</v>
      </c>
      <c r="K7" s="44">
        <f>B7*'Inflation adjustment'!$F$20/'Inflation adjustment'!$F$19</f>
        <v>3.2550592969369228</v>
      </c>
      <c r="L7" s="44">
        <f>C7</f>
        <v>4.4002797920213297</v>
      </c>
      <c r="M7" s="44">
        <f>L7-K7</f>
        <v>1.1452204950844069</v>
      </c>
      <c r="N7" s="44"/>
      <c r="O7" s="44">
        <f>F7*'Inflation adjustment'!$F$20/'Inflation adjustment'!$F$19</f>
        <v>2.9455174073684445</v>
      </c>
      <c r="P7" s="44">
        <f>G7</f>
        <v>4.0199999999999996</v>
      </c>
      <c r="Q7" s="44">
        <f>P7-O7</f>
        <v>1.0744825926315551</v>
      </c>
      <c r="R7" s="44"/>
      <c r="S7" s="44"/>
    </row>
    <row r="8" spans="1:19" x14ac:dyDescent="0.25">
      <c r="A8" s="146" t="s">
        <v>474</v>
      </c>
      <c r="B8" s="44">
        <f>'Nat''l wholesale energy prices'!C21</f>
        <v>3.4573688833852101</v>
      </c>
      <c r="C8" s="44">
        <f>'Nat''l wholesale energy prices'!C22</f>
        <v>3.4365299730239203</v>
      </c>
      <c r="D8" s="44">
        <f t="shared" ref="D8:D14" si="0">C8-B8</f>
        <v>-2.083891036128982E-2</v>
      </c>
      <c r="E8" s="44"/>
      <c r="F8" s="44">
        <v>2.7174478142076506</v>
      </c>
      <c r="G8" s="44">
        <v>3.4358461413043417</v>
      </c>
      <c r="H8" s="44">
        <f t="shared" ref="H8:H14" si="1">G8-F8</f>
        <v>0.71839832709669116</v>
      </c>
      <c r="J8" s="146" t="s">
        <v>474</v>
      </c>
      <c r="K8" s="44">
        <f>B8*'Inflation adjustment'!$F$20/'Inflation adjustment'!$F$19</f>
        <v>3.5483415434512668</v>
      </c>
      <c r="L8" s="44">
        <f t="shared" ref="L8:L14" si="2">C8</f>
        <v>3.4365299730239203</v>
      </c>
      <c r="M8" s="44">
        <f t="shared" ref="M8:M14" si="3">L8-K8</f>
        <v>-0.11181157042734657</v>
      </c>
      <c r="N8" s="44"/>
      <c r="O8" s="44">
        <f>F8*'Inflation adjustment'!$F$20/'Inflation adjustment'!$F$19</f>
        <v>2.7889511638898834</v>
      </c>
      <c r="P8" s="44">
        <f t="shared" ref="P8:P14" si="4">G8</f>
        <v>3.4358461413043417</v>
      </c>
      <c r="Q8" s="44">
        <f t="shared" ref="Q8:Q14" si="5">P8-O8</f>
        <v>0.64689497741445834</v>
      </c>
      <c r="R8" s="44"/>
      <c r="S8" s="44"/>
    </row>
    <row r="9" spans="1:19" x14ac:dyDescent="0.25">
      <c r="A9" s="146" t="s">
        <v>475</v>
      </c>
      <c r="B9" s="44">
        <f>'Nat''l wholesale energy prices'!D21</f>
        <v>2.8931119688553402</v>
      </c>
      <c r="C9" s="44">
        <f>'Nat''l wholesale energy prices'!D22</f>
        <v>3.3264431650378397</v>
      </c>
      <c r="D9" s="44">
        <f t="shared" si="0"/>
        <v>0.43333119618249949</v>
      </c>
      <c r="E9" s="44"/>
      <c r="F9" s="44">
        <v>1.9954888524590095</v>
      </c>
      <c r="G9" s="44">
        <v>3.1996353260869546</v>
      </c>
      <c r="H9" s="44">
        <f t="shared" si="1"/>
        <v>1.204146473627945</v>
      </c>
      <c r="J9" s="146" t="s">
        <v>475</v>
      </c>
      <c r="K9" s="44">
        <f>B9*'Inflation adjustment'!$F$20/'Inflation adjustment'!$F$19</f>
        <v>2.9692375141914273</v>
      </c>
      <c r="L9" s="44">
        <f t="shared" si="2"/>
        <v>3.3264431650378397</v>
      </c>
      <c r="M9" s="44">
        <f t="shared" si="3"/>
        <v>0.35720565084641231</v>
      </c>
      <c r="N9" s="44"/>
      <c r="O9" s="44">
        <f>F9*'Inflation adjustment'!$F$20/'Inflation adjustment'!$F$19</f>
        <v>2.0479955230410081</v>
      </c>
      <c r="P9" s="44">
        <f t="shared" si="4"/>
        <v>3.1996353260869546</v>
      </c>
      <c r="Q9" s="44">
        <f t="shared" si="5"/>
        <v>1.1516398030459465</v>
      </c>
      <c r="R9" s="44"/>
      <c r="S9" s="44"/>
    </row>
    <row r="10" spans="1:19" x14ac:dyDescent="0.25">
      <c r="A10" s="146" t="s">
        <v>476</v>
      </c>
      <c r="B10" s="44">
        <f>'Nat''l wholesale energy prices'!E21</f>
        <v>2.9524669047213901</v>
      </c>
      <c r="C10" s="44">
        <f>'Nat''l wholesale energy prices'!E22</f>
        <v>4.3363629229805705</v>
      </c>
      <c r="D10" s="44">
        <f t="shared" si="0"/>
        <v>1.3838960182591804</v>
      </c>
      <c r="E10" s="44"/>
      <c r="F10" s="26">
        <v>2.1723448087431616</v>
      </c>
      <c r="G10" s="26">
        <v>3.3589484782608645</v>
      </c>
      <c r="H10" s="44">
        <f t="shared" si="1"/>
        <v>1.1866036695177029</v>
      </c>
      <c r="J10" s="146" t="s">
        <v>476</v>
      </c>
      <c r="K10" s="44">
        <f>B10*'Inflation adjustment'!$F$20/'Inflation adjustment'!$F$19</f>
        <v>3.0301542378174511</v>
      </c>
      <c r="L10" s="44">
        <f t="shared" si="2"/>
        <v>4.3363629229805705</v>
      </c>
      <c r="M10" s="44">
        <f t="shared" si="3"/>
        <v>1.3062086851631194</v>
      </c>
      <c r="N10" s="44"/>
      <c r="O10" s="44">
        <f>F10*'Inflation adjustment'!$F$20/'Inflation adjustment'!$F$19</f>
        <v>2.2295050344806469</v>
      </c>
      <c r="P10" s="44">
        <f t="shared" si="4"/>
        <v>3.3589484782608645</v>
      </c>
      <c r="Q10" s="44">
        <f t="shared" si="5"/>
        <v>1.1294434437802177</v>
      </c>
      <c r="R10" s="44"/>
      <c r="S10" s="44"/>
    </row>
    <row r="11" spans="1:19" x14ac:dyDescent="0.25">
      <c r="A11" s="146" t="s">
        <v>477</v>
      </c>
      <c r="B11" s="44">
        <f>'Nat''l wholesale energy prices'!F21</f>
        <v>2.5765786899896401</v>
      </c>
      <c r="C11" s="44">
        <f>'Nat''l wholesale energy prices'!F22</f>
        <v>2.9025223076321702</v>
      </c>
      <c r="D11" s="44">
        <f t="shared" si="0"/>
        <v>0.3259436176425301</v>
      </c>
      <c r="E11" s="44"/>
      <c r="F11" s="44">
        <v>2.1592674316939831</v>
      </c>
      <c r="G11" s="44">
        <v>3.3635654347826027</v>
      </c>
      <c r="H11" s="44">
        <f t="shared" si="1"/>
        <v>1.2042980030886197</v>
      </c>
      <c r="J11" s="146" t="s">
        <v>477</v>
      </c>
      <c r="K11" s="44">
        <f>B11*'Inflation adjustment'!$F$20/'Inflation adjustment'!$F$19</f>
        <v>2.644375394710476</v>
      </c>
      <c r="L11" s="44">
        <f t="shared" si="2"/>
        <v>2.9025223076321702</v>
      </c>
      <c r="M11" s="44">
        <f t="shared" si="3"/>
        <v>0.25814691292169423</v>
      </c>
      <c r="N11" s="44"/>
      <c r="O11" s="44">
        <f>F11*'Inflation adjustment'!$F$20/'Inflation adjustment'!$F$19</f>
        <v>2.2160835565220838</v>
      </c>
      <c r="P11" s="44">
        <f t="shared" si="4"/>
        <v>3.3635654347826027</v>
      </c>
      <c r="Q11" s="44">
        <f t="shared" si="5"/>
        <v>1.147481878260519</v>
      </c>
      <c r="R11" s="44"/>
      <c r="S11" s="44"/>
    </row>
    <row r="12" spans="1:19" x14ac:dyDescent="0.25">
      <c r="A12" s="146" t="s">
        <v>478</v>
      </c>
      <c r="B12" s="44">
        <f>'Nat''l wholesale energy prices'!G21</f>
        <v>3.3743677794642104</v>
      </c>
      <c r="C12" s="44">
        <f>'Nat''l wholesale energy prices'!G22</f>
        <v>5.07458414568476</v>
      </c>
      <c r="D12" s="44">
        <f t="shared" si="0"/>
        <v>1.7002163662205496</v>
      </c>
      <c r="E12" s="44"/>
      <c r="F12" s="44">
        <v>2.1982731147540888</v>
      </c>
      <c r="G12" s="44">
        <v>3.853554021739126</v>
      </c>
      <c r="H12" s="44">
        <f t="shared" si="1"/>
        <v>1.6552809069850372</v>
      </c>
      <c r="J12" s="146" t="s">
        <v>478</v>
      </c>
      <c r="K12" s="44">
        <f>B12*'Inflation adjustment'!$F$20/'Inflation adjustment'!$F$19</f>
        <v>3.4631564575871199</v>
      </c>
      <c r="L12" s="44">
        <f t="shared" si="2"/>
        <v>5.07458414568476</v>
      </c>
      <c r="M12" s="44">
        <f t="shared" si="3"/>
        <v>1.6114276880976401</v>
      </c>
      <c r="N12" s="44"/>
      <c r="O12" s="44">
        <f>F12*'Inflation adjustment'!$F$20/'Inflation adjustment'!$F$19</f>
        <v>2.2561155838530378</v>
      </c>
      <c r="P12" s="44">
        <f t="shared" si="4"/>
        <v>3.853554021739126</v>
      </c>
      <c r="Q12" s="44">
        <f t="shared" si="5"/>
        <v>1.5974384378860882</v>
      </c>
      <c r="R12" s="44"/>
      <c r="S12" s="44"/>
    </row>
    <row r="13" spans="1:19" x14ac:dyDescent="0.25">
      <c r="A13" s="146" t="s">
        <v>479</v>
      </c>
      <c r="B13" s="44">
        <f>'Nat''l wholesale energy prices'!H21</f>
        <v>3.8019507470226102</v>
      </c>
      <c r="C13" s="44">
        <f>'Nat''l wholesale energy prices'!H22</f>
        <v>6.6012084043861403</v>
      </c>
      <c r="D13" s="44">
        <f t="shared" si="0"/>
        <v>2.7992576573635302</v>
      </c>
      <c r="E13" s="44"/>
      <c r="F13" s="44">
        <v>2.8064843715846894</v>
      </c>
      <c r="G13" s="44">
        <v>6.0250719565217388</v>
      </c>
      <c r="H13" s="44">
        <f t="shared" si="1"/>
        <v>3.2185875849370493</v>
      </c>
      <c r="J13" s="146" t="s">
        <v>479</v>
      </c>
      <c r="K13" s="44">
        <f>B13*'Inflation adjustment'!$F$20/'Inflation adjustment'!$F$19</f>
        <v>3.9019902812935747</v>
      </c>
      <c r="L13" s="44">
        <f t="shared" si="2"/>
        <v>6.6012084043861403</v>
      </c>
      <c r="M13" s="44">
        <f t="shared" si="3"/>
        <v>2.6992181230925656</v>
      </c>
      <c r="N13" s="44"/>
      <c r="O13" s="44">
        <f>F13*'Inflation adjustment'!$F$20/'Inflation adjustment'!$F$19</f>
        <v>2.8803305121986731</v>
      </c>
      <c r="P13" s="44">
        <f t="shared" si="4"/>
        <v>6.0250719565217388</v>
      </c>
      <c r="Q13" s="44">
        <f t="shared" si="5"/>
        <v>3.1447414443230657</v>
      </c>
      <c r="R13" s="44"/>
      <c r="S13" s="44"/>
    </row>
    <row r="14" spans="1:19" x14ac:dyDescent="0.25">
      <c r="A14" s="146" t="s">
        <v>480</v>
      </c>
      <c r="B14" s="44">
        <f>'Nat''l wholesale energy prices'!I21</f>
        <v>4.2675459106554694</v>
      </c>
      <c r="C14" s="44">
        <f>'Nat''l wholesale energy prices'!I22</f>
        <v>7.2590220008604405</v>
      </c>
      <c r="D14" s="44">
        <f t="shared" si="0"/>
        <v>2.9914760902049711</v>
      </c>
      <c r="E14" s="44"/>
      <c r="F14" s="44">
        <v>3.2292629508196629</v>
      </c>
      <c r="G14" s="44">
        <v>6.7176717391304326</v>
      </c>
      <c r="H14" s="44">
        <f t="shared" si="1"/>
        <v>3.4884087883107697</v>
      </c>
      <c r="J14" s="146" t="s">
        <v>480</v>
      </c>
      <c r="K14" s="44">
        <f>B14*'Inflation adjustment'!$F$20/'Inflation adjustment'!$F$19</f>
        <v>4.3798365040347402</v>
      </c>
      <c r="L14" s="44">
        <f t="shared" si="2"/>
        <v>7.2590220008604405</v>
      </c>
      <c r="M14" s="44">
        <f t="shared" si="3"/>
        <v>2.8791854968257002</v>
      </c>
      <c r="N14" s="44"/>
      <c r="O14" s="44">
        <f>F14*'Inflation adjustment'!$F$20/'Inflation adjustment'!$F$19</f>
        <v>3.314233531222754</v>
      </c>
      <c r="P14" s="44">
        <f t="shared" si="4"/>
        <v>6.7176717391304326</v>
      </c>
      <c r="Q14" s="44">
        <f t="shared" si="5"/>
        <v>3.4034382079076786</v>
      </c>
      <c r="R14" s="44"/>
      <c r="S14" s="44"/>
    </row>
    <row r="15" spans="1:19" x14ac:dyDescent="0.25">
      <c r="A15" s="146"/>
      <c r="B15" s="128"/>
      <c r="C15" s="128"/>
      <c r="D15" s="128"/>
      <c r="E15" s="128"/>
      <c r="F15" s="128"/>
      <c r="G15" s="128"/>
      <c r="H15" s="128"/>
      <c r="J15" s="146"/>
      <c r="K15" s="44"/>
      <c r="L15" s="44"/>
      <c r="M15" s="44"/>
      <c r="N15" s="44"/>
      <c r="O15" s="44"/>
      <c r="P15" s="44"/>
      <c r="Q15" s="44"/>
      <c r="R15" s="44"/>
      <c r="S15" s="44"/>
    </row>
    <row r="16" spans="1:19" x14ac:dyDescent="0.25">
      <c r="A16" s="146"/>
      <c r="B16" s="71"/>
      <c r="C16" s="71"/>
      <c r="D16" s="71"/>
      <c r="E16" s="71"/>
      <c r="F16" s="71"/>
      <c r="G16" s="71"/>
      <c r="H16" s="71"/>
      <c r="S16" s="71"/>
    </row>
    <row r="17" spans="1:19" x14ac:dyDescent="0.25">
      <c r="A17" t="s">
        <v>197</v>
      </c>
      <c r="B17" s="152" t="s">
        <v>483</v>
      </c>
      <c r="C17" s="71"/>
      <c r="D17" s="71"/>
      <c r="E17" s="71"/>
      <c r="F17" s="71"/>
      <c r="G17" s="71"/>
      <c r="H17" s="71"/>
      <c r="K17" s="76"/>
      <c r="L17" s="76"/>
      <c r="M17" s="76"/>
      <c r="N17" s="76"/>
      <c r="O17" s="76"/>
      <c r="P17" s="76"/>
      <c r="Q17" s="76"/>
      <c r="R17" s="76"/>
      <c r="S17" s="71"/>
    </row>
    <row r="18" spans="1:19" x14ac:dyDescent="0.25">
      <c r="A18"/>
      <c r="B18" s="152" t="s">
        <v>497</v>
      </c>
      <c r="C18" s="71"/>
      <c r="D18" s="71"/>
      <c r="E18" s="71"/>
      <c r="F18" s="71"/>
      <c r="G18" s="71"/>
      <c r="H18" s="71"/>
      <c r="S18" s="71"/>
    </row>
    <row r="19" spans="1:19" x14ac:dyDescent="0.25">
      <c r="A19"/>
      <c r="B19" s="152" t="s">
        <v>498</v>
      </c>
      <c r="C19" s="71"/>
      <c r="D19" s="71"/>
      <c r="E19" s="71"/>
      <c r="F19" s="71"/>
      <c r="G19" s="71"/>
      <c r="H19" s="71"/>
      <c r="S19" s="71"/>
    </row>
    <row r="20" spans="1:19" x14ac:dyDescent="0.25">
      <c r="B20" s="71"/>
      <c r="C20" s="71"/>
      <c r="D20" s="71"/>
      <c r="E20" s="71"/>
      <c r="F20" s="71"/>
      <c r="G20" s="71"/>
      <c r="H20" s="71"/>
      <c r="S20" s="71"/>
    </row>
    <row r="21" spans="1:19" x14ac:dyDescent="0.25">
      <c r="A21" t="s">
        <v>205</v>
      </c>
      <c r="B21" s="28" t="s">
        <v>486</v>
      </c>
      <c r="C21" s="71"/>
      <c r="D21" s="71"/>
      <c r="E21" s="71"/>
      <c r="F21" s="71"/>
      <c r="G21" s="71"/>
      <c r="H21" s="71"/>
      <c r="S21" s="71"/>
    </row>
    <row r="22" spans="1:19" x14ac:dyDescent="0.25">
      <c r="B22" s="28" t="s">
        <v>487</v>
      </c>
      <c r="C22" s="71"/>
      <c r="D22" s="71"/>
      <c r="E22" s="71"/>
      <c r="F22" s="71"/>
      <c r="G22" s="71"/>
      <c r="H22" s="71"/>
      <c r="S22" s="71"/>
    </row>
    <row r="23" spans="1:19" x14ac:dyDescent="0.25">
      <c r="B23" s="28" t="s">
        <v>499</v>
      </c>
      <c r="C23" s="71"/>
      <c r="D23" s="71"/>
      <c r="E23" s="71"/>
      <c r="F23" s="71"/>
      <c r="G23" s="71"/>
      <c r="H23" s="71"/>
      <c r="S23" s="71"/>
    </row>
    <row r="24" spans="1:19" s="25" customFormat="1" x14ac:dyDescent="0.25">
      <c r="B24" t="s">
        <v>500</v>
      </c>
      <c r="D24" s="71"/>
      <c r="E24" s="71"/>
      <c r="F24" s="71"/>
      <c r="G24" s="71"/>
      <c r="H24" s="71"/>
      <c r="S24" s="71"/>
    </row>
    <row r="25" spans="1:19" x14ac:dyDescent="0.25">
      <c r="B25" t="s">
        <v>501</v>
      </c>
      <c r="D25" s="71"/>
      <c r="E25" s="71"/>
      <c r="F25" s="71"/>
      <c r="G25" s="71"/>
      <c r="H25" s="71"/>
      <c r="S25" s="71"/>
    </row>
    <row r="26" spans="1:19" x14ac:dyDescent="0.25">
      <c r="B26" t="s">
        <v>502</v>
      </c>
      <c r="D26" s="71"/>
      <c r="E26" s="71"/>
      <c r="F26" s="71"/>
      <c r="G26" s="71"/>
      <c r="H26" s="71"/>
      <c r="S26" s="71"/>
    </row>
    <row r="27" spans="1:19" x14ac:dyDescent="0.25">
      <c r="B27" t="s">
        <v>503</v>
      </c>
      <c r="D27" s="71"/>
      <c r="E27" s="71"/>
      <c r="F27" s="71"/>
      <c r="G27" s="71"/>
      <c r="H27" s="71"/>
      <c r="S27" s="71"/>
    </row>
    <row r="28" spans="1:19" x14ac:dyDescent="0.25">
      <c r="B28" t="s">
        <v>504</v>
      </c>
      <c r="D28" s="71"/>
      <c r="E28" s="71"/>
      <c r="F28" s="71"/>
      <c r="G28" s="71"/>
      <c r="H28" s="71"/>
      <c r="S28" s="71"/>
    </row>
    <row r="29" spans="1:19" x14ac:dyDescent="0.25">
      <c r="B29" t="s">
        <v>505</v>
      </c>
      <c r="D29" s="71"/>
      <c r="E29" s="71"/>
      <c r="F29" s="71"/>
      <c r="G29" s="71"/>
      <c r="H29" s="71"/>
      <c r="S29" s="71"/>
    </row>
    <row r="30" spans="1:19" x14ac:dyDescent="0.25">
      <c r="B30" t="s">
        <v>506</v>
      </c>
      <c r="D30" s="71"/>
      <c r="E30" s="71"/>
      <c r="F30" s="71"/>
      <c r="G30" s="71"/>
      <c r="H30" s="71"/>
      <c r="S30" s="71"/>
    </row>
    <row r="31" spans="1:19" x14ac:dyDescent="0.25">
      <c r="B31" s="28" t="s">
        <v>488</v>
      </c>
      <c r="C31" s="71"/>
      <c r="D31" s="71"/>
      <c r="E31" s="71"/>
      <c r="F31" s="71"/>
      <c r="G31" s="71"/>
      <c r="H31" s="71"/>
      <c r="S31" s="71"/>
    </row>
    <row r="34" spans="7:7" x14ac:dyDescent="0.25">
      <c r="G34" s="81"/>
    </row>
    <row r="35" spans="7:7" x14ac:dyDescent="0.25">
      <c r="G35" s="81"/>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80B53-F87A-4CDB-809A-170897B58DDC}">
  <sheetPr>
    <tabColor theme="7" tint="0.59999389629810485"/>
  </sheetPr>
  <dimension ref="A1:I31"/>
  <sheetViews>
    <sheetView workbookViewId="0">
      <selection activeCell="G11" sqref="G11"/>
    </sheetView>
  </sheetViews>
  <sheetFormatPr defaultRowHeight="15" x14ac:dyDescent="0.25"/>
  <cols>
    <col min="1" max="1" width="12.5703125" style="25" customWidth="1"/>
    <col min="2" max="2" width="23.140625" style="25" customWidth="1"/>
    <col min="3" max="3" width="23.85546875" style="25" customWidth="1"/>
    <col min="4" max="4" width="10.85546875" style="25" customWidth="1"/>
    <col min="5" max="5" width="11.42578125" style="25" customWidth="1"/>
    <col min="6" max="6" width="22" style="25" customWidth="1"/>
    <col min="7" max="8" width="25.42578125" customWidth="1"/>
    <col min="9" max="9" width="11.5703125" customWidth="1"/>
  </cols>
  <sheetData>
    <row r="1" spans="1:9" x14ac:dyDescent="0.25">
      <c r="A1" s="59" t="s">
        <v>70</v>
      </c>
      <c r="B1" s="59"/>
    </row>
    <row r="2" spans="1:9" x14ac:dyDescent="0.25">
      <c r="A2" s="28" t="s">
        <v>71</v>
      </c>
      <c r="B2" s="28"/>
    </row>
    <row r="4" spans="1:9" ht="54.75" customHeight="1" x14ac:dyDescent="0.25">
      <c r="A4" s="147" t="s">
        <v>158</v>
      </c>
      <c r="B4" s="43" t="s">
        <v>507</v>
      </c>
      <c r="C4" s="43" t="s">
        <v>508</v>
      </c>
      <c r="E4" s="147" t="s">
        <v>158</v>
      </c>
      <c r="F4" s="43" t="s">
        <v>509</v>
      </c>
      <c r="G4" s="43" t="s">
        <v>510</v>
      </c>
    </row>
    <row r="5" spans="1:9" x14ac:dyDescent="0.25">
      <c r="A5" s="146">
        <v>2010</v>
      </c>
      <c r="B5" s="44">
        <v>1.4039999999999999</v>
      </c>
      <c r="C5" s="148">
        <v>164.71</v>
      </c>
      <c r="E5" s="146">
        <v>2010</v>
      </c>
      <c r="F5" s="44">
        <f>B5*('Inflation adjustment'!$F$20/tblCPI[[#This Row],[National]])</f>
        <v>2.0728985765124555</v>
      </c>
      <c r="G5" s="128">
        <f>C5*('Inflation adjustment'!$F$20/tblCPI[[#This Row],[National]])</f>
        <v>243.18171263345195</v>
      </c>
      <c r="I5" s="72"/>
    </row>
    <row r="6" spans="1:9" x14ac:dyDescent="0.25">
      <c r="A6" s="146">
        <v>2011</v>
      </c>
      <c r="B6" s="44">
        <v>1.226</v>
      </c>
      <c r="C6" s="148">
        <v>135.13999999999999</v>
      </c>
      <c r="E6" s="146">
        <v>2011</v>
      </c>
      <c r="F6" s="44">
        <f>B6*('Inflation adjustment'!$F$20/tblCPI[[#This Row],[National]])</f>
        <v>1.7547073562165743</v>
      </c>
      <c r="G6" s="128">
        <f>C6*('Inflation adjustment'!$F$20/tblCPI[[#This Row],[National]])</f>
        <v>193.41855800906021</v>
      </c>
      <c r="I6" s="72"/>
    </row>
    <row r="7" spans="1:9" x14ac:dyDescent="0.25">
      <c r="A7" s="146">
        <v>2012</v>
      </c>
      <c r="B7" s="44">
        <v>0.73599999999999999</v>
      </c>
      <c r="C7" s="148">
        <v>89.01</v>
      </c>
      <c r="E7" s="146">
        <v>2012</v>
      </c>
      <c r="F7" s="44">
        <f>B7*('Inflation adjustment'!$F$20/tblCPI[[#This Row],[National]])</f>
        <v>1.032039373851233</v>
      </c>
      <c r="G7" s="128">
        <f>C7*('Inflation adjustment'!$F$20/tblCPI[[#This Row],[National]])</f>
        <v>124.81226177513351</v>
      </c>
      <c r="I7" s="72"/>
    </row>
    <row r="8" spans="1:9" x14ac:dyDescent="0.25">
      <c r="A8" s="146">
        <v>2013</v>
      </c>
      <c r="B8" s="44">
        <v>0.75800000000000001</v>
      </c>
      <c r="C8" s="148">
        <v>99.39</v>
      </c>
      <c r="E8" s="146">
        <v>2013</v>
      </c>
      <c r="F8" s="44">
        <f>B8*('Inflation adjustment'!$F$20/tblCPI[[#This Row],[National]])</f>
        <v>1.0475443708495558</v>
      </c>
      <c r="G8" s="128">
        <f>C8*('Inflation adjustment'!$F$20/tblCPI[[#This Row],[National]])</f>
        <v>137.35545516983819</v>
      </c>
      <c r="I8" s="72"/>
    </row>
    <row r="9" spans="1:9" x14ac:dyDescent="0.25">
      <c r="A9" s="146">
        <v>2014</v>
      </c>
      <c r="B9" s="44">
        <v>1.0289999999999999</v>
      </c>
      <c r="C9" s="148">
        <v>122.32</v>
      </c>
      <c r="E9" s="146">
        <v>2014</v>
      </c>
      <c r="F9" s="44">
        <f>B9*('Inflation adjustment'!$F$20/tblCPI[[#This Row],[National]])</f>
        <v>1.3993619348134629</v>
      </c>
      <c r="G9" s="128">
        <f>C9*('Inflation adjustment'!$F$20/tblCPI[[#This Row],[National]])</f>
        <v>166.34592018113003</v>
      </c>
      <c r="I9" s="72"/>
    </row>
    <row r="10" spans="1:9" x14ac:dyDescent="0.25">
      <c r="A10" s="146">
        <v>2015</v>
      </c>
      <c r="B10" s="44">
        <v>1.25</v>
      </c>
      <c r="C10" s="148">
        <v>146.1</v>
      </c>
      <c r="E10" s="146">
        <v>2015</v>
      </c>
      <c r="F10" s="44">
        <f>B10*('Inflation adjustment'!$F$20/tblCPI[[#This Row],[National]])</f>
        <v>1.6978898138108236</v>
      </c>
      <c r="G10" s="128">
        <f>C10*('Inflation adjustment'!$F$20/tblCPI[[#This Row],[National]])</f>
        <v>198.44936143820905</v>
      </c>
      <c r="I10" s="72"/>
    </row>
    <row r="11" spans="1:9" x14ac:dyDescent="0.25">
      <c r="A11" s="146">
        <v>2016</v>
      </c>
      <c r="B11" s="44">
        <v>1.1779999999999999</v>
      </c>
      <c r="C11" s="148">
        <v>137.69</v>
      </c>
      <c r="E11" s="146">
        <v>2016</v>
      </c>
      <c r="F11" s="44">
        <f>B11*('Inflation adjustment'!$F$20/tblCPI[[#This Row],[National]])</f>
        <v>1.5801574704071131</v>
      </c>
      <c r="G11" s="128">
        <f>C11*('Inflation adjustment'!$F$20/tblCPI[[#This Row],[National]])</f>
        <v>184.69599499181274</v>
      </c>
      <c r="I11" s="72"/>
    </row>
    <row r="12" spans="1:9" x14ac:dyDescent="0.25">
      <c r="A12" s="146">
        <v>2017</v>
      </c>
      <c r="B12" s="44">
        <v>1.216</v>
      </c>
      <c r="C12" s="148">
        <v>133.19</v>
      </c>
      <c r="E12" s="146">
        <v>2017</v>
      </c>
      <c r="F12" s="44">
        <f>B12*('Inflation adjustment'!$F$20/tblCPI[[#This Row],[National]])</f>
        <v>1.5971062663185378</v>
      </c>
      <c r="G12" s="128">
        <f>C12*('Inflation adjustment'!$F$20/tblCPI[[#This Row],[National]])</f>
        <v>174.93304573270234</v>
      </c>
      <c r="I12" s="72"/>
    </row>
    <row r="13" spans="1:9" x14ac:dyDescent="0.25">
      <c r="A13" s="146">
        <v>2018</v>
      </c>
      <c r="B13" s="44">
        <v>1.395</v>
      </c>
      <c r="C13" s="148">
        <v>159.31</v>
      </c>
      <c r="E13" s="146">
        <v>2018</v>
      </c>
      <c r="F13" s="44">
        <f>B13*('Inflation adjustment'!$F$20/tblCPI[[#This Row],[National]])</f>
        <v>1.7885223629767391</v>
      </c>
      <c r="G13" s="128">
        <f>C13*('Inflation adjustment'!$F$20/tblCPI[[#This Row],[National]])</f>
        <v>204.25053594682745</v>
      </c>
      <c r="I13" s="72"/>
    </row>
    <row r="14" spans="1:9" x14ac:dyDescent="0.25">
      <c r="A14" s="146">
        <v>2019</v>
      </c>
      <c r="B14" s="44">
        <v>1.2</v>
      </c>
      <c r="C14" s="148">
        <v>135.58000000000001</v>
      </c>
      <c r="E14" s="146">
        <v>2019</v>
      </c>
      <c r="F14" s="44">
        <f>B14*('Inflation adjustment'!$F$20/tblCPI[[#This Row],[National]])</f>
        <v>1.5111324939274102</v>
      </c>
      <c r="G14" s="128">
        <f>C14*('Inflation adjustment'!$F$20/tblCPI[[#This Row],[National]])</f>
        <v>170.73278627223192</v>
      </c>
      <c r="I14" s="72"/>
    </row>
    <row r="15" spans="1:9" x14ac:dyDescent="0.25">
      <c r="A15" s="146">
        <v>2020</v>
      </c>
      <c r="B15" s="44">
        <v>0.999</v>
      </c>
      <c r="C15" s="148">
        <v>110.55</v>
      </c>
      <c r="E15" s="146">
        <v>2020</v>
      </c>
      <c r="F15" s="44">
        <f>B15*('Inflation adjustment'!$F$20/tblCPI[[#This Row],[National]])</f>
        <v>1.2426869684827926</v>
      </c>
      <c r="G15" s="128">
        <f>C15*('Inflation adjustment'!$F$20/tblCPI[[#This Row],[National]])</f>
        <v>137.51656092669941</v>
      </c>
      <c r="I15" s="72"/>
    </row>
    <row r="16" spans="1:9" x14ac:dyDescent="0.25">
      <c r="A16" s="146">
        <v>2021</v>
      </c>
      <c r="B16" s="44">
        <v>1.1640000000000001</v>
      </c>
      <c r="C16" s="148">
        <v>132.33000000000001</v>
      </c>
      <c r="E16" s="146">
        <v>2021</v>
      </c>
      <c r="F16" s="44">
        <f>B16*('Inflation adjustment'!$F$20/tblCPI[[#This Row],[National]])</f>
        <v>1.3829636195888844</v>
      </c>
      <c r="G16" s="128">
        <f>C16*('Inflation adjustment'!$F$20/tblCPI[[#This Row],[National]])</f>
        <v>157.22300324759198</v>
      </c>
      <c r="I16" s="72"/>
    </row>
    <row r="17" spans="1:9" x14ac:dyDescent="0.25">
      <c r="A17" s="146">
        <v>2022</v>
      </c>
      <c r="B17" s="44">
        <v>0.88100000000000001</v>
      </c>
      <c r="C17" s="148">
        <v>103.36</v>
      </c>
      <c r="E17" s="146">
        <v>2022</v>
      </c>
      <c r="F17" s="44">
        <f>B17*('Inflation adjustment'!$F$20/tblCPI[[#This Row],[National]])</f>
        <v>0.9691677333378893</v>
      </c>
      <c r="G17" s="128">
        <f>C17*('Inflation adjustment'!$F$20/tblCPI[[#This Row],[National]])</f>
        <v>113.70394655823409</v>
      </c>
      <c r="I17" s="72"/>
    </row>
    <row r="18" spans="1:9" x14ac:dyDescent="0.25">
      <c r="A18" s="146">
        <v>2023</v>
      </c>
      <c r="B18" s="44">
        <v>0.46299999999999997</v>
      </c>
      <c r="C18" s="148">
        <v>54.56</v>
      </c>
      <c r="E18" s="146">
        <v>2023</v>
      </c>
      <c r="F18" s="44">
        <f>B18*('Inflation adjustment'!$F$20/tblCPI[[#This Row],[National]])</f>
        <v>0.48919800001312752</v>
      </c>
      <c r="G18" s="128">
        <f>C18*('Inflation adjustment'!$F$20/tblCPI[[#This Row],[National]])</f>
        <v>57.647176848199223</v>
      </c>
      <c r="I18" s="72"/>
    </row>
    <row r="19" spans="1:9" x14ac:dyDescent="0.25">
      <c r="A19" s="146">
        <v>2024</v>
      </c>
      <c r="B19" s="44">
        <v>0.36099999999999999</v>
      </c>
      <c r="C19" s="148">
        <v>44.09</v>
      </c>
      <c r="E19" s="146">
        <v>2024</v>
      </c>
      <c r="F19" s="44">
        <f>B19*('Inflation adjustment'!$F$20/tblCPI[[#This Row],[National]])</f>
        <v>0.37049887946341753</v>
      </c>
      <c r="G19" s="128">
        <f>C19*('Inflation adjustment'!$F$20/tblCPI[[#This Row],[National]])</f>
        <v>45.250126303440673</v>
      </c>
      <c r="I19" s="72"/>
    </row>
    <row r="20" spans="1:9" x14ac:dyDescent="0.25">
      <c r="A20" s="146">
        <v>2025</v>
      </c>
      <c r="B20" s="44">
        <v>1.2760435256596114</v>
      </c>
      <c r="C20" s="148">
        <v>192.97</v>
      </c>
      <c r="E20" s="146">
        <v>2025</v>
      </c>
      <c r="F20" s="44">
        <f>B20*('Inflation adjustment'!$F$20/tblCPI[[#This Row],[National]])</f>
        <v>1.2760435256596114</v>
      </c>
      <c r="G20" s="128">
        <f>C20*('Inflation adjustment'!$F$20/tblCPI[[#This Row],[National]])</f>
        <v>192.97</v>
      </c>
      <c r="H20" s="26"/>
      <c r="I20" s="72"/>
    </row>
    <row r="21" spans="1:9" x14ac:dyDescent="0.25">
      <c r="A21" s="146">
        <v>2026</v>
      </c>
      <c r="B21" s="44">
        <v>1.9573841635520464</v>
      </c>
      <c r="C21" s="149">
        <v>315.85000000000002</v>
      </c>
      <c r="E21" s="146">
        <v>2026</v>
      </c>
      <c r="F21" s="44">
        <f>B21*('Inflation adjustment'!$F$20/tblCPI[[#This Row],[National]])</f>
        <v>1.9040701980078272</v>
      </c>
      <c r="G21" s="128">
        <f>C21*('Inflation adjustment'!$F$20/tblCPI[[#This Row],[National]])</f>
        <v>307.24708171206225</v>
      </c>
      <c r="H21" s="26"/>
    </row>
    <row r="22" spans="1:9" x14ac:dyDescent="0.25">
      <c r="A22" s="146">
        <v>2027</v>
      </c>
      <c r="B22" s="150">
        <v>1.9446119682081904</v>
      </c>
      <c r="C22" s="136">
        <v>331.67350684931512</v>
      </c>
      <c r="E22" s="146">
        <v>2027</v>
      </c>
      <c r="F22" s="44">
        <f>B22*('Inflation adjustment'!$F$20/tblCPI[[#This Row],[National]])</f>
        <v>1.8473104330771506</v>
      </c>
      <c r="G22" s="128">
        <f>C22*('Inflation adjustment'!$F$20/tblCPI[[#This Row],[National]])</f>
        <v>315.0777325219205</v>
      </c>
      <c r="H22" s="26"/>
    </row>
    <row r="23" spans="1:9" x14ac:dyDescent="0.25">
      <c r="A23" s="146"/>
      <c r="B23" s="71"/>
      <c r="C23" s="71"/>
      <c r="D23" s="28"/>
      <c r="E23" s="28"/>
      <c r="H23" s="26"/>
    </row>
    <row r="25" spans="1:9" x14ac:dyDescent="0.25">
      <c r="A25" t="s">
        <v>197</v>
      </c>
      <c r="B25" s="28" t="s">
        <v>511</v>
      </c>
      <c r="C25" s="28"/>
    </row>
    <row r="26" spans="1:9" x14ac:dyDescent="0.25">
      <c r="A26"/>
      <c r="B26" s="28" t="s">
        <v>512</v>
      </c>
      <c r="C26" s="28"/>
    </row>
    <row r="27" spans="1:9" x14ac:dyDescent="0.25">
      <c r="B27" s="28" t="s">
        <v>513</v>
      </c>
      <c r="C27"/>
    </row>
    <row r="28" spans="1:9" x14ac:dyDescent="0.25">
      <c r="C28"/>
    </row>
    <row r="29" spans="1:9" x14ac:dyDescent="0.25">
      <c r="A29" t="s">
        <v>205</v>
      </c>
      <c r="B29" s="28" t="s">
        <v>514</v>
      </c>
    </row>
    <row r="30" spans="1:9" x14ac:dyDescent="0.25">
      <c r="B30" s="28" t="s">
        <v>515</v>
      </c>
    </row>
    <row r="31" spans="1:9" x14ac:dyDescent="0.25">
      <c r="B31" s="28" t="s">
        <v>516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031F-9562-4FB5-9569-A3BA471A572A}">
  <sheetPr>
    <tabColor theme="7" tint="0.59999389629810485"/>
  </sheetPr>
  <dimension ref="A1:K21"/>
  <sheetViews>
    <sheetView workbookViewId="0">
      <selection activeCell="I10" sqref="I10"/>
    </sheetView>
  </sheetViews>
  <sheetFormatPr defaultRowHeight="15" x14ac:dyDescent="0.25"/>
  <cols>
    <col min="1" max="1" width="8.140625" style="25" customWidth="1"/>
    <col min="2" max="2" width="20.85546875" style="25" customWidth="1"/>
    <col min="3" max="3" width="18.5703125" style="25" customWidth="1"/>
    <col min="4" max="4" width="13.5703125" style="25" customWidth="1"/>
    <col min="5" max="5" width="19.28515625" style="81" customWidth="1"/>
    <col min="6" max="6" width="4.85546875" style="81" customWidth="1"/>
    <col min="7" max="7" width="6.85546875" style="81" customWidth="1"/>
    <col min="8" max="8" width="23.28515625" customWidth="1"/>
    <col min="9" max="9" width="23.85546875" customWidth="1"/>
    <col min="11" max="11" width="11.5703125" customWidth="1"/>
  </cols>
  <sheetData>
    <row r="1" spans="1:11" x14ac:dyDescent="0.25">
      <c r="A1" s="59" t="s">
        <v>517</v>
      </c>
    </row>
    <row r="2" spans="1:11" x14ac:dyDescent="0.25">
      <c r="A2" s="28" t="s">
        <v>518</v>
      </c>
    </row>
    <row r="4" spans="1:11" ht="53.25" customHeight="1" x14ac:dyDescent="0.25">
      <c r="A4" s="29" t="s">
        <v>158</v>
      </c>
      <c r="B4" s="43" t="s">
        <v>519</v>
      </c>
      <c r="C4" s="43" t="s">
        <v>520</v>
      </c>
      <c r="D4" s="43" t="s">
        <v>521</v>
      </c>
      <c r="E4" s="43" t="s">
        <v>522</v>
      </c>
      <c r="F4" s="43"/>
      <c r="G4" s="29" t="s">
        <v>158</v>
      </c>
      <c r="H4" s="43" t="s">
        <v>523</v>
      </c>
      <c r="I4" s="43" t="s">
        <v>524</v>
      </c>
    </row>
    <row r="5" spans="1:11" x14ac:dyDescent="0.25">
      <c r="A5" s="30">
        <v>2015</v>
      </c>
      <c r="B5" s="54">
        <v>108.6</v>
      </c>
      <c r="C5" s="149">
        <f>B5*'Inflation adjustment'!$F$20/'Inflation adjustment'!$F10</f>
        <v>147.51266702388438</v>
      </c>
      <c r="D5" s="189">
        <v>0.32</v>
      </c>
      <c r="E5" s="148">
        <f>D5*B5</f>
        <v>34.752000000000002</v>
      </c>
      <c r="F5" s="190"/>
      <c r="G5" s="30">
        <v>2015</v>
      </c>
      <c r="H5" s="149">
        <f>E5*'Inflation adjustment'!$F$20/'Inflation adjustment'!$F10</f>
        <v>47.204053447642998</v>
      </c>
      <c r="I5" s="76">
        <f t="shared" ref="I5:I15" si="0">C5-H5</f>
        <v>100.30861357624138</v>
      </c>
    </row>
    <row r="6" spans="1:11" x14ac:dyDescent="0.25">
      <c r="A6" s="30">
        <v>2016</v>
      </c>
      <c r="B6" s="54">
        <v>120.8</v>
      </c>
      <c r="C6" s="149">
        <f>B6*'Inflation adjustment'!$F$20/'Inflation adjustment'!$F11</f>
        <v>162.03991716908254</v>
      </c>
      <c r="D6" s="189">
        <v>0.35</v>
      </c>
      <c r="E6" s="148">
        <f t="shared" ref="E6:E13" si="1">D6*B6</f>
        <v>42.279999999999994</v>
      </c>
      <c r="F6" s="190"/>
      <c r="G6" s="30">
        <v>2016</v>
      </c>
      <c r="H6" s="149">
        <f>E6*'Inflation adjustment'!$F$20/'Inflation adjustment'!$F11</f>
        <v>56.713971009178884</v>
      </c>
      <c r="I6" s="76">
        <f>C6-H6</f>
        <v>105.32594615990365</v>
      </c>
      <c r="K6" s="45"/>
    </row>
    <row r="7" spans="1:11" x14ac:dyDescent="0.25">
      <c r="A7" s="30">
        <v>2017</v>
      </c>
      <c r="B7" s="54">
        <v>122.8</v>
      </c>
      <c r="C7" s="149">
        <f>B7*'Inflation adjustment'!$F$20/'Inflation adjustment'!$F12</f>
        <v>161.28671834203652</v>
      </c>
      <c r="D7" s="189">
        <v>0.28999999999999998</v>
      </c>
      <c r="E7" s="148">
        <f t="shared" si="1"/>
        <v>35.611999999999995</v>
      </c>
      <c r="F7" s="190"/>
      <c r="G7" s="30">
        <v>2017</v>
      </c>
      <c r="H7" s="149">
        <f>E7*'Inflation adjustment'!$F$20/'Inflation adjustment'!$F12</f>
        <v>46.773148319190589</v>
      </c>
      <c r="I7" s="76">
        <f t="shared" si="0"/>
        <v>114.51357002284593</v>
      </c>
      <c r="K7" s="45"/>
    </row>
    <row r="8" spans="1:11" x14ac:dyDescent="0.25">
      <c r="A8" s="30">
        <v>2018</v>
      </c>
      <c r="B8" s="54">
        <v>127.1</v>
      </c>
      <c r="C8" s="149">
        <f>B8*'Inflation adjustment'!$F$20/'Inflation adjustment'!$F13</f>
        <v>162.95425973788065</v>
      </c>
      <c r="D8" s="189">
        <v>0.27</v>
      </c>
      <c r="E8" s="148">
        <f t="shared" si="1"/>
        <v>34.317</v>
      </c>
      <c r="F8" s="190"/>
      <c r="G8" s="30">
        <v>2018</v>
      </c>
      <c r="H8" s="149">
        <f>E8*'Inflation adjustment'!$F$20/'Inflation adjustment'!$F13</f>
        <v>43.997650129227772</v>
      </c>
      <c r="I8" s="76">
        <f>C8-H8</f>
        <v>118.95660960865288</v>
      </c>
      <c r="K8" s="45"/>
    </row>
    <row r="9" spans="1:11" x14ac:dyDescent="0.25">
      <c r="A9" s="30">
        <v>2019</v>
      </c>
      <c r="B9" s="128">
        <v>135.6</v>
      </c>
      <c r="C9" s="149">
        <f>B9*'Inflation adjustment'!$F$20/'Inflation adjustment'!$F14</f>
        <v>170.75797181379735</v>
      </c>
      <c r="D9" s="189">
        <v>0.28000000000000003</v>
      </c>
      <c r="E9" s="148">
        <f t="shared" si="1"/>
        <v>37.968000000000004</v>
      </c>
      <c r="F9" s="190"/>
      <c r="G9" s="30">
        <v>2019</v>
      </c>
      <c r="H9" s="149">
        <f>E9*'Inflation adjustment'!$F$20/'Inflation adjustment'!$F14</f>
        <v>47.812232107863267</v>
      </c>
      <c r="I9" s="76">
        <f t="shared" si="0"/>
        <v>122.94573970593409</v>
      </c>
      <c r="K9" s="45"/>
    </row>
    <row r="10" spans="1:11" x14ac:dyDescent="0.25">
      <c r="A10" s="30">
        <v>2020</v>
      </c>
      <c r="B10" s="128">
        <v>139.80000000000001</v>
      </c>
      <c r="C10" s="149">
        <f>B10*'Inflation adjustment'!$F$20/'Inflation adjustment'!$F15</f>
        <v>173.90153973362803</v>
      </c>
      <c r="D10" s="189">
        <v>0.27</v>
      </c>
      <c r="E10" s="148">
        <f t="shared" si="1"/>
        <v>37.746000000000002</v>
      </c>
      <c r="F10" s="190"/>
      <c r="G10" s="30">
        <v>2020</v>
      </c>
      <c r="H10" s="149">
        <f>E10*'Inflation adjustment'!$F$20/'Inflation adjustment'!$F15</f>
        <v>46.953415728079563</v>
      </c>
      <c r="I10" s="76">
        <f t="shared" si="0"/>
        <v>126.94812400554846</v>
      </c>
      <c r="K10" s="45"/>
    </row>
    <row r="11" spans="1:11" x14ac:dyDescent="0.25">
      <c r="A11" s="30">
        <v>2021</v>
      </c>
      <c r="B11" s="128">
        <v>143.30000000000001</v>
      </c>
      <c r="C11" s="149">
        <f>B11*'Inflation adjustment'!$F$20/'Inflation adjustment'!$F16</f>
        <v>170.25660368306455</v>
      </c>
      <c r="D11" s="189">
        <v>0.24</v>
      </c>
      <c r="E11" s="148">
        <f t="shared" si="1"/>
        <v>34.392000000000003</v>
      </c>
      <c r="F11" s="190"/>
      <c r="G11" s="30">
        <v>2021</v>
      </c>
      <c r="H11" s="149">
        <f>E11*'Inflation adjustment'!$F$20/'Inflation adjustment'!$F16</f>
        <v>40.861584883935492</v>
      </c>
      <c r="I11" s="76">
        <f t="shared" si="0"/>
        <v>129.39501879912905</v>
      </c>
      <c r="K11" s="45"/>
    </row>
    <row r="12" spans="1:11" x14ac:dyDescent="0.25">
      <c r="A12" s="30">
        <v>2022</v>
      </c>
      <c r="B12" s="128">
        <v>154.69999999999999</v>
      </c>
      <c r="C12" s="149">
        <f>B12*'Inflation adjustment'!$F$20/'Inflation adjustment'!$F17</f>
        <v>170.18189369735694</v>
      </c>
      <c r="D12" s="189">
        <v>0.24</v>
      </c>
      <c r="E12" s="148">
        <f>D12*B12</f>
        <v>37.127999999999993</v>
      </c>
      <c r="F12" s="190"/>
      <c r="G12" s="30">
        <v>2022</v>
      </c>
      <c r="H12" s="149">
        <f>E12*'Inflation adjustment'!$F$20/'Inflation adjustment'!$F17</f>
        <v>40.843654487365662</v>
      </c>
      <c r="I12" s="76">
        <f t="shared" si="0"/>
        <v>129.33823920999129</v>
      </c>
      <c r="K12" s="45"/>
    </row>
    <row r="13" spans="1:11" x14ac:dyDescent="0.25">
      <c r="A13" s="30">
        <v>2023</v>
      </c>
      <c r="B13" s="128">
        <v>167.8</v>
      </c>
      <c r="C13" s="149">
        <f>B13*'Inflation adjustment'!$F$20/'Inflation adjustment'!$F18</f>
        <v>177.29465313650715</v>
      </c>
      <c r="D13" s="189">
        <v>0.26</v>
      </c>
      <c r="E13" s="148">
        <f t="shared" si="1"/>
        <v>43.628000000000007</v>
      </c>
      <c r="F13" s="190"/>
      <c r="G13" s="30">
        <v>2023</v>
      </c>
      <c r="H13" s="149">
        <f>E13*'Inflation adjustment'!$F$20/'Inflation adjustment'!$F18</f>
        <v>46.09660981549186</v>
      </c>
      <c r="I13" s="76">
        <f t="shared" si="0"/>
        <v>131.19804332101529</v>
      </c>
      <c r="K13" s="45"/>
    </row>
    <row r="14" spans="1:11" x14ac:dyDescent="0.25">
      <c r="A14" s="30">
        <v>2024</v>
      </c>
      <c r="B14" s="128">
        <v>186.4</v>
      </c>
      <c r="C14" s="149">
        <f>B14*'Inflation adjustment'!$F$20/'Inflation adjustment'!$F19</f>
        <v>191.30468457612474</v>
      </c>
      <c r="D14" s="189">
        <v>0.27</v>
      </c>
      <c r="E14" s="148">
        <v>50.6</v>
      </c>
      <c r="F14" s="190"/>
      <c r="G14" s="30">
        <v>2024</v>
      </c>
      <c r="H14" s="149">
        <f>E14*'Inflation adjustment'!$F$20/'Inflation adjustment'!$F19</f>
        <v>51.931421886008117</v>
      </c>
      <c r="I14" s="76">
        <f t="shared" si="0"/>
        <v>139.37326269011663</v>
      </c>
      <c r="K14" s="45"/>
    </row>
    <row r="15" spans="1:11" x14ac:dyDescent="0.25">
      <c r="A15" s="30">
        <v>2025</v>
      </c>
      <c r="B15" s="128">
        <v>207.9</v>
      </c>
      <c r="C15" s="149">
        <f>B15*'Inflation adjustment'!$F$20/'Inflation adjustment'!$F20</f>
        <v>207.9</v>
      </c>
      <c r="D15" s="189">
        <v>0.3</v>
      </c>
      <c r="E15" s="148">
        <v>63.2</v>
      </c>
      <c r="F15" s="190"/>
      <c r="G15" s="30">
        <v>2025</v>
      </c>
      <c r="H15" s="149">
        <f>E15*'Inflation adjustment'!$F$20/'Inflation adjustment'!$F20</f>
        <v>63.20000000000001</v>
      </c>
      <c r="I15" s="76">
        <f t="shared" si="0"/>
        <v>144.69999999999999</v>
      </c>
      <c r="K15" s="45"/>
    </row>
    <row r="16" spans="1:11" x14ac:dyDescent="0.25">
      <c r="A16" s="30"/>
      <c r="B16" s="44"/>
      <c r="C16" s="52"/>
      <c r="D16" s="84"/>
    </row>
    <row r="17" spans="1:11" s="81" customFormat="1" x14ac:dyDescent="0.25">
      <c r="A17" s="25"/>
      <c r="B17" s="44"/>
      <c r="C17" s="179"/>
      <c r="D17" s="84"/>
      <c r="H17"/>
      <c r="K17"/>
    </row>
    <row r="18" spans="1:11" s="81" customFormat="1" x14ac:dyDescent="0.25">
      <c r="A18" s="114" t="s">
        <v>197</v>
      </c>
      <c r="B18" s="28" t="s">
        <v>525</v>
      </c>
      <c r="C18" s="25"/>
      <c r="D18" s="25"/>
      <c r="H18"/>
      <c r="K18"/>
    </row>
    <row r="19" spans="1:11" s="81" customFormat="1" x14ac:dyDescent="0.25">
      <c r="A19" s="114"/>
      <c r="B19" s="28"/>
      <c r="C19" s="25"/>
      <c r="D19" s="25"/>
      <c r="H19"/>
      <c r="K19"/>
    </row>
    <row r="20" spans="1:11" s="81" customFormat="1" x14ac:dyDescent="0.25">
      <c r="A20" s="25"/>
      <c r="B20" s="28"/>
      <c r="C20" s="25"/>
      <c r="D20" s="25"/>
      <c r="H20"/>
      <c r="K20"/>
    </row>
    <row r="21" spans="1:11" s="81" customFormat="1" x14ac:dyDescent="0.25">
      <c r="A21" s="114" t="s">
        <v>205</v>
      </c>
      <c r="B21" s="28" t="s">
        <v>206</v>
      </c>
      <c r="C21" s="25"/>
      <c r="D21" s="25"/>
      <c r="H21"/>
      <c r="K21"/>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6D7D9-F128-47D8-B6F6-96CC0AB14B99}">
  <sheetPr>
    <tabColor theme="7" tint="0.59999389629810485"/>
  </sheetPr>
  <dimension ref="A1:AJ40"/>
  <sheetViews>
    <sheetView workbookViewId="0">
      <selection activeCell="N6" sqref="N6"/>
    </sheetView>
  </sheetViews>
  <sheetFormatPr defaultRowHeight="15" x14ac:dyDescent="0.25"/>
  <cols>
    <col min="1" max="1" width="11.5703125" style="25" customWidth="1"/>
    <col min="2" max="3" width="13.42578125" style="25" customWidth="1"/>
    <col min="4" max="4" width="13.42578125" style="30" customWidth="1"/>
    <col min="5" max="8" width="13.42578125" style="25" customWidth="1"/>
    <col min="9" max="9" width="16.5703125" style="25" customWidth="1"/>
    <col min="10" max="10" width="21" style="25" customWidth="1"/>
    <col min="11" max="11" width="11.140625" style="25" customWidth="1"/>
    <col min="12" max="12" width="13" customWidth="1"/>
    <col min="13" max="19" width="12.5703125" customWidth="1"/>
    <col min="20" max="20" width="16.5703125" customWidth="1"/>
    <col min="21" max="21" width="18.42578125" customWidth="1"/>
    <col min="23" max="31" width="11.42578125" bestFit="1" customWidth="1"/>
  </cols>
  <sheetData>
    <row r="1" spans="1:36" x14ac:dyDescent="0.25">
      <c r="A1" s="59" t="s">
        <v>74</v>
      </c>
      <c r="B1" s="92"/>
    </row>
    <row r="2" spans="1:36" x14ac:dyDescent="0.25">
      <c r="A2" s="28" t="s">
        <v>75</v>
      </c>
    </row>
    <row r="3" spans="1:36" x14ac:dyDescent="0.25">
      <c r="A3" s="28"/>
    </row>
    <row r="4" spans="1:36" x14ac:dyDescent="0.25">
      <c r="A4" s="59" t="s">
        <v>526</v>
      </c>
      <c r="L4" s="59" t="s">
        <v>527</v>
      </c>
      <c r="M4" s="25"/>
      <c r="N4" s="25"/>
      <c r="O4" s="30"/>
      <c r="P4" s="25"/>
      <c r="Q4" s="25"/>
    </row>
    <row r="5" spans="1:36" s="31" customFormat="1" ht="18" customHeight="1" x14ac:dyDescent="0.25">
      <c r="A5" s="53" t="s">
        <v>158</v>
      </c>
      <c r="B5" s="27" t="s">
        <v>478</v>
      </c>
      <c r="C5" s="27" t="s">
        <v>480</v>
      </c>
      <c r="D5" s="27" t="s">
        <v>474</v>
      </c>
      <c r="E5" s="27" t="s">
        <v>479</v>
      </c>
      <c r="F5" s="27" t="s">
        <v>476</v>
      </c>
      <c r="G5" s="27" t="s">
        <v>475</v>
      </c>
      <c r="H5" s="27" t="s">
        <v>477</v>
      </c>
      <c r="I5" s="43" t="s">
        <v>528</v>
      </c>
      <c r="J5" s="43" t="s">
        <v>529</v>
      </c>
      <c r="K5" s="54"/>
      <c r="L5" s="53" t="s">
        <v>158</v>
      </c>
      <c r="M5" s="27" t="s">
        <v>478</v>
      </c>
      <c r="N5" s="27" t="s">
        <v>480</v>
      </c>
      <c r="O5" s="27" t="s">
        <v>474</v>
      </c>
      <c r="P5" s="27" t="s">
        <v>479</v>
      </c>
      <c r="Q5" s="27" t="s">
        <v>476</v>
      </c>
      <c r="R5" s="27" t="s">
        <v>475</v>
      </c>
      <c r="S5" s="27" t="s">
        <v>477</v>
      </c>
      <c r="T5" s="43" t="s">
        <v>528</v>
      </c>
      <c r="U5" s="43" t="s">
        <v>529</v>
      </c>
    </row>
    <row r="6" spans="1:36" s="31" customFormat="1" ht="18" customHeight="1" x14ac:dyDescent="0.25">
      <c r="A6" s="74">
        <v>2009</v>
      </c>
      <c r="B6" s="44">
        <v>1.5594420870477597</v>
      </c>
      <c r="C6" s="44">
        <v>2.3291685842105383</v>
      </c>
      <c r="D6" s="44">
        <v>2.690351763471948</v>
      </c>
      <c r="E6" s="44">
        <v>3.5693742947581448</v>
      </c>
      <c r="F6" s="44">
        <v>1.390369305081925</v>
      </c>
      <c r="G6" s="44">
        <v>1.1484075316960121</v>
      </c>
      <c r="H6" s="44">
        <v>1.2031721714611205</v>
      </c>
      <c r="I6" s="44">
        <v>1.429701567900413</v>
      </c>
      <c r="J6" s="44">
        <v>1.4537052176832395</v>
      </c>
      <c r="K6" s="54"/>
      <c r="L6" s="74">
        <v>2009</v>
      </c>
      <c r="M6" s="44">
        <f>B6*'Inflation adjustment'!$F$20/214.537</f>
        <v>2.3401626005323877</v>
      </c>
      <c r="N6" s="44">
        <f>C6*'Inflation adjustment'!$F$20/214.537</f>
        <v>3.4952456756013799</v>
      </c>
      <c r="O6" s="44">
        <f>D6*'Inflation adjustment'!$F$20/214.537</f>
        <v>4.0372519322422207</v>
      </c>
      <c r="P6" s="44">
        <f>E6*'Inflation adjustment'!$F$20/214.537</f>
        <v>5.356349107973549</v>
      </c>
      <c r="Q6" s="44">
        <f>F6*'Inflation adjustment'!$F$20/214.537</f>
        <v>2.0864450662868883</v>
      </c>
      <c r="R6" s="44">
        <f>G6*'Inflation adjustment'!$F$20/214.537</f>
        <v>1.7233473292570007</v>
      </c>
      <c r="S6" s="44">
        <f>H6*'Inflation adjustment'!$F$20/214.537</f>
        <v>1.8055293883885182</v>
      </c>
      <c r="T6" s="44">
        <f>I6*'Inflation adjustment'!$F$20/214.537</f>
        <v>2.1454686691552629</v>
      </c>
      <c r="U6" s="44">
        <f>J6*'Inflation adjustment'!$F$20/214.537</f>
        <v>2.1814895281307893</v>
      </c>
    </row>
    <row r="7" spans="1:36" s="31" customFormat="1" ht="15.75" customHeight="1" x14ac:dyDescent="0.25">
      <c r="A7" s="30">
        <v>2010</v>
      </c>
      <c r="B7" s="44">
        <v>1.6559138000962754</v>
      </c>
      <c r="C7" s="44">
        <v>2.4723893189811954</v>
      </c>
      <c r="D7" s="44">
        <v>2.8510370894697412</v>
      </c>
      <c r="E7" s="44">
        <v>3.9343923859724632</v>
      </c>
      <c r="F7" s="44">
        <v>1.4357892234520682</v>
      </c>
      <c r="G7" s="44">
        <v>1.1933380326854348</v>
      </c>
      <c r="H7" s="44">
        <v>1.2394424927382326</v>
      </c>
      <c r="I7" s="44">
        <v>1.49231378813467</v>
      </c>
      <c r="J7" s="44">
        <v>1.4563037527557532</v>
      </c>
      <c r="K7" s="54"/>
      <c r="L7" s="30">
        <v>2010</v>
      </c>
      <c r="M7" s="44">
        <f>B7*'Inflation adjustment'!$F$20/'Inflation adjustment'!$F5</f>
        <v>2.4448300278111819</v>
      </c>
      <c r="N7" s="44">
        <f>C7*'Inflation adjustment'!$F$20/'Inflation adjustment'!$F5</f>
        <v>3.6502936608979475</v>
      </c>
      <c r="O7" s="44">
        <f>D7*'Inflation adjustment'!$F$20/'Inflation adjustment'!$F5</f>
        <v>4.2093381227535902</v>
      </c>
      <c r="P7" s="44">
        <f>E7*'Inflation adjustment'!$F$20/'Inflation adjustment'!$F5</f>
        <v>5.8088293278659267</v>
      </c>
      <c r="Q7" s="44">
        <f>F7*'Inflation adjustment'!$F$20/'Inflation adjustment'!$F5</f>
        <v>2.1198329326678889</v>
      </c>
      <c r="R7" s="44">
        <f>G7*'Inflation adjustment'!$F$20/'Inflation adjustment'!$F5</f>
        <v>1.761872300036903</v>
      </c>
      <c r="S7" s="44">
        <f>H7*'Inflation adjustment'!$F$20/'Inflation adjustment'!$F5</f>
        <v>1.82994200773941</v>
      </c>
      <c r="T7" s="44">
        <f>I7*'Inflation adjustment'!$F$20/'Inflation adjustment'!$F5</f>
        <v>2.2032871275885095</v>
      </c>
      <c r="U7" s="44">
        <f>J7*'Inflation adjustment'!$F$20/'Inflation adjustment'!$F5</f>
        <v>2.1501210655677689</v>
      </c>
      <c r="W7" s="119"/>
      <c r="X7" s="119"/>
      <c r="Y7" s="119"/>
      <c r="Z7" s="119"/>
      <c r="AA7" s="119"/>
      <c r="AB7" s="119"/>
      <c r="AC7" s="119"/>
      <c r="AD7" s="119"/>
      <c r="AE7" s="119"/>
    </row>
    <row r="8" spans="1:36" s="31" customFormat="1" ht="15.75" customHeight="1" x14ac:dyDescent="0.25">
      <c r="A8" s="30">
        <v>2011</v>
      </c>
      <c r="B8" s="44">
        <v>1.7091162964455509</v>
      </c>
      <c r="C8" s="44">
        <v>2.6535801460311044</v>
      </c>
      <c r="D8" s="44">
        <v>3.1309691323695676</v>
      </c>
      <c r="E8" s="44">
        <v>4.003889358071036</v>
      </c>
      <c r="F8" s="44">
        <v>1.4380736524216136</v>
      </c>
      <c r="G8" s="44">
        <v>1.4324636773434047</v>
      </c>
      <c r="H8" s="44">
        <v>1.298269815498146</v>
      </c>
      <c r="I8" s="44">
        <v>1.5071187779200386</v>
      </c>
      <c r="J8" s="44">
        <v>1.4872238946898622</v>
      </c>
      <c r="K8" s="54"/>
      <c r="L8" s="30">
        <v>2011</v>
      </c>
      <c r="M8" s="44">
        <f>B8*'Inflation adjustment'!$F$20/'Inflation adjustment'!$F6</f>
        <v>2.4461655285502735</v>
      </c>
      <c r="N8" s="44">
        <f>C8*'Inflation adjustment'!$F$20/'Inflation adjustment'!$F6</f>
        <v>3.797925450694152</v>
      </c>
      <c r="O8" s="44">
        <f>D8*'Inflation adjustment'!$F$20/'Inflation adjustment'!$F6</f>
        <v>4.4811864344664807</v>
      </c>
      <c r="P8" s="44">
        <f>E8*'Inflation adjustment'!$F$20/'Inflation adjustment'!$F6</f>
        <v>5.730549845093396</v>
      </c>
      <c r="Q8" s="44">
        <f>F8*'Inflation adjustment'!$F$20/'Inflation adjustment'!$F6</f>
        <v>2.0582368814726282</v>
      </c>
      <c r="R8" s="44">
        <f>G8*'Inflation adjustment'!$F$20/'Inflation adjustment'!$F6</f>
        <v>2.0502076281790518</v>
      </c>
      <c r="S8" s="44">
        <f>H8*'Inflation adjustment'!$F$20/'Inflation adjustment'!$F6</f>
        <v>1.8581432264343651</v>
      </c>
      <c r="T8" s="44">
        <f>I8*'Inflation adjustment'!$F$20/'Inflation adjustment'!$F6</f>
        <v>2.1570574276577692</v>
      </c>
      <c r="U8" s="44">
        <f>J8*'Inflation adjustment'!$F$20/'Inflation adjustment'!$F6</f>
        <v>2.1285829595051915</v>
      </c>
      <c r="W8" s="119"/>
      <c r="X8" s="119"/>
      <c r="Y8" s="119"/>
      <c r="Z8" s="119"/>
      <c r="AA8" s="119"/>
      <c r="AB8" s="119"/>
      <c r="AC8" s="119"/>
      <c r="AD8" s="119"/>
      <c r="AE8" s="119"/>
    </row>
    <row r="9" spans="1:36" s="31" customFormat="1" ht="15.75" customHeight="1" x14ac:dyDescent="0.25">
      <c r="A9" s="30">
        <v>2012</v>
      </c>
      <c r="B9" s="44">
        <v>1.7293624466568938</v>
      </c>
      <c r="C9" s="44">
        <v>2.5952799402604634</v>
      </c>
      <c r="D9" s="44">
        <v>2.9982101906892762</v>
      </c>
      <c r="E9" s="44">
        <v>4.1041485693666377</v>
      </c>
      <c r="F9" s="44">
        <v>1.439340936627342</v>
      </c>
      <c r="G9" s="44">
        <v>1.2111204288428437</v>
      </c>
      <c r="H9" s="44">
        <v>1.3350920429261588</v>
      </c>
      <c r="I9" s="44">
        <v>1.5744778456665334</v>
      </c>
      <c r="J9" s="44">
        <v>1.4955881118138266</v>
      </c>
      <c r="K9" s="54"/>
      <c r="L9" s="30">
        <v>2012</v>
      </c>
      <c r="M9" s="44">
        <f>B9*'Inflation adjustment'!$F$20/'Inflation adjustment'!$F7</f>
        <v>2.4249594247413273</v>
      </c>
      <c r="N9" s="44">
        <f>C9*'Inflation adjustment'!$F$20/'Inflation adjustment'!$F7</f>
        <v>3.6391726691780897</v>
      </c>
      <c r="O9" s="44">
        <f>D9*'Inflation adjustment'!$F$20/'Inflation adjustment'!$F7</f>
        <v>4.2041725106974814</v>
      </c>
      <c r="P9" s="44">
        <f>E9*'Inflation adjustment'!$F$20/'Inflation adjustment'!$F7</f>
        <v>5.7549496191869274</v>
      </c>
      <c r="Q9" s="44">
        <f>F9*'Inflation adjustment'!$F$20/'Inflation adjustment'!$F7</f>
        <v>2.0182833138523493</v>
      </c>
      <c r="R9" s="44">
        <f>G9*'Inflation adjustment'!$F$20/'Inflation adjustment'!$F7</f>
        <v>1.6982662622845179</v>
      </c>
      <c r="S9" s="44">
        <f>H9*'Inflation adjustment'!$F$20/'Inflation adjustment'!$F7</f>
        <v>1.8721026576294515</v>
      </c>
      <c r="T9" s="44">
        <f>I9*'Inflation adjustment'!$F$20/'Inflation adjustment'!$F7</f>
        <v>2.2077759918265318</v>
      </c>
      <c r="U9" s="44">
        <f>J9*'Inflation adjustment'!$F$20/'Inflation adjustment'!$F7</f>
        <v>2.0971546446408822</v>
      </c>
      <c r="W9" s="119"/>
      <c r="X9" s="119"/>
      <c r="Y9" s="119"/>
      <c r="Z9" s="119"/>
      <c r="AA9" s="119"/>
      <c r="AB9" s="119"/>
      <c r="AC9" s="119"/>
      <c r="AD9" s="119"/>
      <c r="AE9" s="119"/>
    </row>
    <row r="10" spans="1:36" s="31" customFormat="1" ht="15.75" customHeight="1" x14ac:dyDescent="0.25">
      <c r="A10" s="30">
        <v>2013</v>
      </c>
      <c r="B10" s="44">
        <v>1.8657677884739881</v>
      </c>
      <c r="C10" s="44">
        <v>2.7551936796909793</v>
      </c>
      <c r="D10" s="44">
        <v>2.8593443979577455</v>
      </c>
      <c r="E10" s="44">
        <v>3.9947302674705125</v>
      </c>
      <c r="F10" s="44">
        <v>1.4940945210574923</v>
      </c>
      <c r="G10" s="44">
        <v>1.2130486244233907</v>
      </c>
      <c r="H10" s="44">
        <v>1.3803841345903916</v>
      </c>
      <c r="I10" s="44">
        <v>1.5969843564590716</v>
      </c>
      <c r="J10" s="44">
        <v>1.544109089376958</v>
      </c>
      <c r="K10" s="54"/>
      <c r="L10" s="30">
        <v>2013</v>
      </c>
      <c r="M10" s="44">
        <f>B10*'Inflation adjustment'!$F$20/'Inflation adjustment'!$F8</f>
        <v>2.5784624592722309</v>
      </c>
      <c r="N10" s="44">
        <f>C10*'Inflation adjustment'!$F$20/'Inflation adjustment'!$F8</f>
        <v>3.80763539546248</v>
      </c>
      <c r="O10" s="44">
        <f>D10*'Inflation adjustment'!$F$20/'Inflation adjustment'!$F8</f>
        <v>3.9515700902385866</v>
      </c>
      <c r="P10" s="44">
        <f>E10*'Inflation adjustment'!$F$20/'Inflation adjustment'!$F8</f>
        <v>5.5206559429433728</v>
      </c>
      <c r="Q10" s="44">
        <f>F10*'Inflation adjustment'!$F$20/'Inflation adjustment'!$F8</f>
        <v>2.0648157058719514</v>
      </c>
      <c r="R10" s="44">
        <f>G10*'Inflation adjustment'!$F$20/'Inflation adjustment'!$F8</f>
        <v>1.6764145884980475</v>
      </c>
      <c r="S10" s="44">
        <f>H10*'Inflation adjustment'!$F$20/'Inflation adjustment'!$F8</f>
        <v>1.9076696963063329</v>
      </c>
      <c r="T10" s="44">
        <f>I10*'Inflation adjustment'!$F$20/'Inflation adjustment'!$F8</f>
        <v>2.2070078798726929</v>
      </c>
      <c r="U10" s="44">
        <f>J10*'Inflation adjustment'!$F$20/'Inflation adjustment'!$F8</f>
        <v>2.133935071971591</v>
      </c>
      <c r="W10" s="119"/>
      <c r="X10" s="119"/>
      <c r="Y10" s="119"/>
      <c r="Z10" s="119"/>
      <c r="AA10" s="119"/>
      <c r="AB10" s="119"/>
      <c r="AC10" s="119"/>
      <c r="AD10" s="119"/>
      <c r="AE10" s="119"/>
    </row>
    <row r="11" spans="1:36" s="31" customFormat="1" ht="15.75" customHeight="1" x14ac:dyDescent="0.25">
      <c r="A11" s="30">
        <v>2014</v>
      </c>
      <c r="B11" s="44">
        <v>1.8335703435894266</v>
      </c>
      <c r="C11" s="44">
        <v>2.8321982257854645</v>
      </c>
      <c r="D11" s="44">
        <v>3.2674937447886592</v>
      </c>
      <c r="E11" s="44">
        <v>4.1730798755490133</v>
      </c>
      <c r="F11" s="44">
        <v>1.5072494302736479</v>
      </c>
      <c r="G11" s="44">
        <v>1.2107427279264809</v>
      </c>
      <c r="H11" s="44">
        <v>1.3624394139877121</v>
      </c>
      <c r="I11" s="44">
        <v>1.6030296626125813</v>
      </c>
      <c r="J11" s="44">
        <v>1.5782628660023306</v>
      </c>
      <c r="K11" s="54"/>
      <c r="L11" s="30">
        <v>2014</v>
      </c>
      <c r="M11" s="44">
        <f>B11*'Inflation adjustment'!$F$20/'Inflation adjustment'!$F9</f>
        <v>2.4935165632865757</v>
      </c>
      <c r="N11" s="44">
        <f>C11*'Inflation adjustment'!$F$20/'Inflation adjustment'!$F9</f>
        <v>3.8515747220703647</v>
      </c>
      <c r="O11" s="44">
        <f>D11*'Inflation adjustment'!$F$20/'Inflation adjustment'!$F9</f>
        <v>4.443543604177207</v>
      </c>
      <c r="P11" s="44">
        <f>E11*'Inflation adjustment'!$F$20/'Inflation adjustment'!$F9</f>
        <v>5.6750720396301189</v>
      </c>
      <c r="Q11" s="44">
        <f>F11*'Inflation adjustment'!$F$20/'Inflation adjustment'!$F9</f>
        <v>2.0497448775454052</v>
      </c>
      <c r="R11" s="44">
        <f>G11*'Inflation adjustment'!$F$20/'Inflation adjustment'!$F9</f>
        <v>1.6465182568634893</v>
      </c>
      <c r="S11" s="44">
        <f>H11*'Inflation adjustment'!$F$20/'Inflation adjustment'!$F9</f>
        <v>1.8528142414227071</v>
      </c>
      <c r="T11" s="44">
        <f>I11*'Inflation adjustment'!$F$20/'Inflation adjustment'!$F9</f>
        <v>2.1799987271495769</v>
      </c>
      <c r="U11" s="44">
        <f>J11*'Inflation adjustment'!$F$20/'Inflation adjustment'!$F9</f>
        <v>2.1463177626951047</v>
      </c>
      <c r="W11" s="119"/>
      <c r="X11" s="119"/>
      <c r="Y11" s="119"/>
      <c r="Z11" s="119"/>
      <c r="AA11" s="119"/>
      <c r="AB11" s="119"/>
      <c r="AC11" s="119"/>
      <c r="AD11" s="119"/>
      <c r="AE11" s="119"/>
    </row>
    <row r="12" spans="1:36" s="31" customFormat="1" ht="15.75" customHeight="1" x14ac:dyDescent="0.25">
      <c r="A12" s="30">
        <v>2015</v>
      </c>
      <c r="B12" s="44">
        <v>1.9202925460690912</v>
      </c>
      <c r="C12" s="44">
        <v>2.9051445195385051</v>
      </c>
      <c r="D12" s="44">
        <v>3.3744886312674764</v>
      </c>
      <c r="E12" s="44">
        <v>4.2406019462781552</v>
      </c>
      <c r="F12" s="44">
        <v>1.5250217834997599</v>
      </c>
      <c r="G12" s="44">
        <v>1.2116726907393698</v>
      </c>
      <c r="H12" s="44">
        <v>1.4015908439181248</v>
      </c>
      <c r="I12" s="44">
        <v>1.628683000498417</v>
      </c>
      <c r="J12" s="44">
        <v>1.587135344936025</v>
      </c>
      <c r="K12" s="54"/>
      <c r="L12" s="30">
        <v>2015</v>
      </c>
      <c r="M12" s="44">
        <f>B12*'Inflation adjustment'!$F$20/'Inflation adjustment'!$F10</f>
        <v>2.6083561228060494</v>
      </c>
      <c r="N12" s="44">
        <f>C12*'Inflation adjustment'!$F$20/'Inflation adjustment'!$F10</f>
        <v>3.9460922298982135</v>
      </c>
      <c r="O12" s="44">
        <f>D12*'Inflation adjustment'!$F$20/'Inflation adjustment'!$F10</f>
        <v>4.5836078990795812</v>
      </c>
      <c r="P12" s="44">
        <f>E12*'Inflation adjustment'!$F$20/'Inflation adjustment'!$F10</f>
        <v>5.7600598792096269</v>
      </c>
      <c r="Q12" s="44">
        <f>F12*'Inflation adjustment'!$F$20/'Inflation adjustment'!$F10</f>
        <v>2.071455161635086</v>
      </c>
      <c r="R12" s="44">
        <f>G12*'Inflation adjustment'!$F$20/'Inflation adjustment'!$F10</f>
        <v>1.6458293754233027</v>
      </c>
      <c r="S12" s="44">
        <f>H12*'Inflation adjustment'!$F$20/'Inflation adjustment'!$F10</f>
        <v>1.9037974536152802</v>
      </c>
      <c r="T12" s="44">
        <f>I12*'Inflation adjustment'!$F$20/'Inflation adjustment'!$F10</f>
        <v>2.2122594211784885</v>
      </c>
      <c r="U12" s="44">
        <f>J12*'Inflation adjustment'!$F$20/'Inflation adjustment'!$F10</f>
        <v>2.1558247482448039</v>
      </c>
      <c r="W12" s="119"/>
      <c r="X12" s="119"/>
      <c r="Y12" s="119"/>
      <c r="Z12" s="119"/>
      <c r="AA12" s="119"/>
      <c r="AB12" s="119"/>
      <c r="AC12" s="119"/>
      <c r="AD12" s="119"/>
      <c r="AE12" s="119"/>
    </row>
    <row r="13" spans="1:36" s="31" customFormat="1" ht="15.75" customHeight="1" x14ac:dyDescent="0.25">
      <c r="A13" s="30">
        <v>2016</v>
      </c>
      <c r="B13" s="44">
        <v>1.8622831025497451</v>
      </c>
      <c r="C13" s="44">
        <v>3.1272735085840369</v>
      </c>
      <c r="D13" s="44">
        <v>3.6104326842603807</v>
      </c>
      <c r="E13" s="44">
        <v>4.5078506176102682</v>
      </c>
      <c r="F13" s="44">
        <v>1.6069148945909564</v>
      </c>
      <c r="G13" s="44">
        <v>1.2370409231134569</v>
      </c>
      <c r="H13" s="44">
        <v>1.4743035398178852</v>
      </c>
      <c r="I13" s="44">
        <v>1.6811311458415477</v>
      </c>
      <c r="J13" s="44">
        <v>1.6953982813610231</v>
      </c>
      <c r="K13" s="54"/>
      <c r="L13" s="30">
        <v>2016</v>
      </c>
      <c r="M13" s="44">
        <f>B13*'Inflation adjustment'!$F$20/'Inflation adjustment'!$F11</f>
        <v>2.4980480106170759</v>
      </c>
      <c r="N13" s="44">
        <f>C13*'Inflation adjustment'!$F$20/'Inflation adjustment'!$F11</f>
        <v>4.1948935454968836</v>
      </c>
      <c r="O13" s="44">
        <f>D13*'Inflation adjustment'!$F$20/'Inflation adjustment'!$F11</f>
        <v>4.8429984528319574</v>
      </c>
      <c r="P13" s="44">
        <f>E13*'Inflation adjustment'!$F$20/'Inflation adjustment'!$F11</f>
        <v>6.0467859328490521</v>
      </c>
      <c r="Q13" s="44">
        <f>F13*'Inflation adjustment'!$F$20/'Inflation adjustment'!$F11</f>
        <v>2.155499639215924</v>
      </c>
      <c r="R13" s="44">
        <f>G13*'Inflation adjustment'!$F$20/'Inflation adjustment'!$F11</f>
        <v>1.6593543767886587</v>
      </c>
      <c r="S13" s="44">
        <f>H13*'Inflation adjustment'!$F$20/'Inflation adjustment'!$F11</f>
        <v>1.9776160883623786</v>
      </c>
      <c r="T13" s="44">
        <f>I13*'Inflation adjustment'!$F$20/'Inflation adjustment'!$F11</f>
        <v>2.2550525796566991</v>
      </c>
      <c r="U13" s="44">
        <f>J13*'Inflation adjustment'!$F$20/'Inflation adjustment'!$F11</f>
        <v>2.2741903731816646</v>
      </c>
      <c r="W13" s="119"/>
      <c r="X13" s="119"/>
      <c r="Y13" s="119"/>
      <c r="Z13" s="119"/>
      <c r="AA13" s="119"/>
      <c r="AB13" s="119"/>
      <c r="AC13" s="119"/>
      <c r="AD13" s="119"/>
      <c r="AE13" s="119"/>
    </row>
    <row r="14" spans="1:36" s="31" customFormat="1" ht="15.75" customHeight="1" x14ac:dyDescent="0.25">
      <c r="A14" s="30">
        <v>2017</v>
      </c>
      <c r="B14" s="44">
        <v>2.1821597919832629</v>
      </c>
      <c r="C14" s="44">
        <v>3.351950876569942</v>
      </c>
      <c r="D14" s="44">
        <v>3.6862285047422008</v>
      </c>
      <c r="E14" s="44">
        <v>4.8351261145281619</v>
      </c>
      <c r="F14" s="44">
        <v>1.6559384758619442</v>
      </c>
      <c r="G14" s="44">
        <v>1.2311987805762639</v>
      </c>
      <c r="H14" s="44">
        <v>1.5266665823594336</v>
      </c>
      <c r="I14" s="44">
        <v>1.7526571017368986</v>
      </c>
      <c r="J14" s="44">
        <v>1.9876320546950241</v>
      </c>
      <c r="K14" s="54"/>
      <c r="L14" s="30">
        <v>2017</v>
      </c>
      <c r="M14" s="44">
        <f>B14*'Inflation adjustment'!$F$20/'Inflation adjustment'!$F12</f>
        <v>2.8660699653658113</v>
      </c>
      <c r="N14" s="44">
        <f>C14*'Inflation adjustment'!$F$20/'Inflation adjustment'!$F12</f>
        <v>4.4024849912514554</v>
      </c>
      <c r="O14" s="44">
        <f>D14*'Inflation adjustment'!$F$20/'Inflation adjustment'!$F12</f>
        <v>4.8415284901363345</v>
      </c>
      <c r="P14" s="44">
        <f>E14*'Inflation adjustment'!$F$20/'Inflation adjustment'!$F12</f>
        <v>6.3505018223300418</v>
      </c>
      <c r="Q14" s="44">
        <f>F14*'Inflation adjustment'!$F$20/'Inflation adjustment'!$F12</f>
        <v>2.1749257536489139</v>
      </c>
      <c r="R14" s="44">
        <f>G14*'Inflation adjustment'!$F$20/'Inflation adjustment'!$F12</f>
        <v>1.6170684930444847</v>
      </c>
      <c r="S14" s="44">
        <f>H14*'Inflation adjustment'!$F$20/'Inflation adjustment'!$F12</f>
        <v>2.0051387872248005</v>
      </c>
      <c r="T14" s="44">
        <f>I14*'Inflation adjustment'!$F$20/'Inflation adjustment'!$F12</f>
        <v>2.3019569407004012</v>
      </c>
      <c r="U14" s="44">
        <f>J14*'Inflation adjustment'!$F$20/'Inflation adjustment'!$F12</f>
        <v>2.6105753369153075</v>
      </c>
      <c r="W14" s="119"/>
      <c r="X14" s="119"/>
      <c r="Y14" s="119"/>
      <c r="Z14" s="119"/>
      <c r="AA14" s="119"/>
      <c r="AB14" s="119"/>
      <c r="AC14" s="119"/>
      <c r="AD14" s="119"/>
      <c r="AE14" s="119"/>
    </row>
    <row r="15" spans="1:36" s="31" customFormat="1" ht="15.75" customHeight="1" x14ac:dyDescent="0.25">
      <c r="A15" s="30">
        <v>2018</v>
      </c>
      <c r="B15" s="44">
        <v>2.1609498570240602</v>
      </c>
      <c r="C15" s="44">
        <v>3.2690415377728206</v>
      </c>
      <c r="D15" s="44">
        <v>0.30348170277108705</v>
      </c>
      <c r="E15" s="44">
        <v>4.5477804070705199</v>
      </c>
      <c r="F15" s="44">
        <v>1.5868750546406705</v>
      </c>
      <c r="G15" s="44">
        <v>1.110867525269043</v>
      </c>
      <c r="H15" s="44">
        <v>1.4109294228327203</v>
      </c>
      <c r="I15" s="44">
        <v>1.6252587315902995</v>
      </c>
      <c r="J15" s="44">
        <v>1.630878081292888</v>
      </c>
      <c r="K15" s="54"/>
      <c r="L15" s="30">
        <v>2018</v>
      </c>
      <c r="M15" s="44">
        <f>B15*'Inflation adjustment'!$F$20/'Inflation adjustment'!$F13</f>
        <v>2.7705427559562139</v>
      </c>
      <c r="N15" s="44">
        <f>C15*'Inflation adjustment'!$F$20/'Inflation adjustment'!$F13</f>
        <v>4.1912214306857036</v>
      </c>
      <c r="O15" s="44">
        <f>D15*'Inflation adjustment'!$F$20/'Inflation adjustment'!$F13</f>
        <v>0.38909233846620001</v>
      </c>
      <c r="P15" s="44">
        <f>E15*'Inflation adjustment'!$F$20/'Inflation adjustment'!$F13</f>
        <v>5.8306859927979078</v>
      </c>
      <c r="Q15" s="44">
        <f>F15*'Inflation adjustment'!$F$20/'Inflation adjustment'!$F13</f>
        <v>2.0345243888708056</v>
      </c>
      <c r="R15" s="44">
        <f>G15*'Inflation adjustment'!$F$20/'Inflation adjustment'!$F13</f>
        <v>1.4242375707873196</v>
      </c>
      <c r="S15" s="44">
        <f>H15*'Inflation adjustment'!$F$20/'Inflation adjustment'!$F13</f>
        <v>1.8089453944933214</v>
      </c>
      <c r="T15" s="44">
        <f>I15*'Inflation adjustment'!$F$20/'Inflation adjustment'!$F13</f>
        <v>2.0837359047114408</v>
      </c>
      <c r="U15" s="44">
        <f>J15*'Inflation adjustment'!$F$20/'Inflation adjustment'!$F13</f>
        <v>2.0909404442157173</v>
      </c>
      <c r="W15" s="119"/>
      <c r="X15" s="119"/>
      <c r="Y15" s="119"/>
      <c r="Z15" s="119"/>
      <c r="AA15" s="119"/>
      <c r="AB15" s="119"/>
      <c r="AC15" s="119"/>
      <c r="AD15" s="119"/>
      <c r="AE15" s="119"/>
    </row>
    <row r="16" spans="1:36" ht="15.75" customHeight="1" x14ac:dyDescent="0.25">
      <c r="A16" s="30">
        <v>2019</v>
      </c>
      <c r="B16" s="44">
        <v>2.1706244952607561</v>
      </c>
      <c r="C16" s="44">
        <v>3.4965197759741944</v>
      </c>
      <c r="D16" s="44">
        <v>1.2817891235889523</v>
      </c>
      <c r="E16" s="44">
        <v>4.9434054471485815</v>
      </c>
      <c r="F16" s="44">
        <v>1.7029419972029003</v>
      </c>
      <c r="G16" s="44">
        <v>1.1046816256455978</v>
      </c>
      <c r="H16" s="44">
        <v>1.4934482546845294</v>
      </c>
      <c r="I16" s="44">
        <v>1.6280247673803856</v>
      </c>
      <c r="J16" s="44">
        <v>1.722706170634871</v>
      </c>
      <c r="K16" s="44"/>
      <c r="L16" s="30">
        <v>2019</v>
      </c>
      <c r="M16" s="44">
        <f>B16*'Inflation adjustment'!$F$20/'Inflation adjustment'!$F14</f>
        <v>2.7334176724194275</v>
      </c>
      <c r="N16" s="44">
        <f>C16*'Inflation adjustment'!$F$20/'Inflation adjustment'!$F14</f>
        <v>4.4030872076119962</v>
      </c>
      <c r="O16" s="44">
        <f>D16*'Inflation adjustment'!$F$20/'Inflation adjustment'!$F14</f>
        <v>1.6141276625150027</v>
      </c>
      <c r="P16" s="44">
        <f>E16*'Inflation adjustment'!$F$20/'Inflation adjustment'!$F14</f>
        <v>6.2251171682033171</v>
      </c>
      <c r="Q16" s="44">
        <f>F16*'Inflation adjustment'!$F$20/'Inflation adjustment'!$F14</f>
        <v>2.1444758227057865</v>
      </c>
      <c r="R16" s="44">
        <f>G16*'Inflation adjustment'!$F$20/'Inflation adjustment'!$F14</f>
        <v>1.3911002499646818</v>
      </c>
      <c r="S16" s="44">
        <f>H16*'Inflation adjustment'!$F$20/'Inflation adjustment'!$F14</f>
        <v>1.8806651547108093</v>
      </c>
      <c r="T16" s="44">
        <f>I16*'Inflation adjustment'!$F$20/'Inflation adjustment'!$F14</f>
        <v>2.050134272422595</v>
      </c>
      <c r="U16" s="44">
        <f>J16*'Inflation adjustment'!$F$20/'Inflation adjustment'!$F14</f>
        <v>2.1693643932796762</v>
      </c>
      <c r="W16" s="119"/>
      <c r="X16" s="119"/>
      <c r="Y16" s="119"/>
      <c r="Z16" s="119"/>
      <c r="AA16" s="119"/>
      <c r="AB16" s="119"/>
      <c r="AC16" s="119"/>
      <c r="AD16" s="119"/>
      <c r="AE16" s="119"/>
      <c r="AF16" s="31"/>
      <c r="AG16" s="31"/>
      <c r="AH16" s="31"/>
      <c r="AI16" s="31"/>
      <c r="AJ16" s="31"/>
    </row>
    <row r="17" spans="1:36" ht="15.75" customHeight="1" x14ac:dyDescent="0.25">
      <c r="A17" s="30">
        <v>2020</v>
      </c>
      <c r="B17" s="44">
        <v>2.3030242312336737</v>
      </c>
      <c r="C17" s="44">
        <v>3.6452476696465448</v>
      </c>
      <c r="D17" s="44">
        <v>5.1218131663814326</v>
      </c>
      <c r="E17" s="44">
        <v>5.2942382194389586</v>
      </c>
      <c r="F17" s="44">
        <v>1.8329756504348615</v>
      </c>
      <c r="G17" s="44">
        <v>1.1019257287124831</v>
      </c>
      <c r="H17" s="44">
        <v>1.560169660774019</v>
      </c>
      <c r="I17" s="44">
        <v>1.672515505725749</v>
      </c>
      <c r="J17" s="44">
        <v>1.8879887825801522</v>
      </c>
      <c r="K17" s="44"/>
      <c r="L17" s="30">
        <v>2020</v>
      </c>
      <c r="M17" s="44">
        <f>B17*'Inflation adjustment'!$F$20/'Inflation adjustment'!$F15</f>
        <v>2.8648030032574452</v>
      </c>
      <c r="N17" s="44">
        <f>C17*'Inflation adjustment'!$F$20/'Inflation adjustment'!$F15</f>
        <v>4.534436212174203</v>
      </c>
      <c r="O17" s="44">
        <f>D17*'Inflation adjustment'!$F$20/'Inflation adjustment'!$F15</f>
        <v>6.3711816585243186</v>
      </c>
      <c r="P17" s="44">
        <f>E17*'Inflation adjustment'!$F$20/'Inflation adjustment'!$F15</f>
        <v>6.5856665098501868</v>
      </c>
      <c r="Q17" s="44">
        <f>F17*'Inflation adjustment'!$F$20/'Inflation adjustment'!$F15</f>
        <v>2.2800950493910639</v>
      </c>
      <c r="R17" s="44">
        <f>G17*'Inflation adjustment'!$F$20/'Inflation adjustment'!$F15</f>
        <v>1.3707194627696773</v>
      </c>
      <c r="S17" s="44">
        <f>H17*'Inflation adjustment'!$F$20/'Inflation adjustment'!$F15</f>
        <v>1.9407432493154078</v>
      </c>
      <c r="T17" s="44">
        <f>I17*'Inflation adjustment'!$F$20/'Inflation adjustment'!$F15</f>
        <v>2.0804937172680638</v>
      </c>
      <c r="U17" s="44">
        <f>J17*'Inflation adjustment'!$F$20/'Inflation adjustment'!$F15</f>
        <v>2.3485275843383855</v>
      </c>
      <c r="W17" s="119"/>
      <c r="X17" s="119"/>
      <c r="Y17" s="119"/>
      <c r="Z17" s="119"/>
      <c r="AA17" s="119"/>
      <c r="AB17" s="119"/>
      <c r="AC17" s="119"/>
      <c r="AD17" s="119"/>
      <c r="AE17" s="119"/>
      <c r="AF17" s="31"/>
      <c r="AG17" s="31"/>
      <c r="AH17" s="31"/>
      <c r="AI17" s="31"/>
      <c r="AJ17" s="31"/>
    </row>
    <row r="18" spans="1:36" ht="15.75" customHeight="1" x14ac:dyDescent="0.25">
      <c r="A18" s="30">
        <v>2021</v>
      </c>
      <c r="B18" s="44">
        <v>2.3301301181629599</v>
      </c>
      <c r="C18" s="44">
        <v>3.8439847352460736</v>
      </c>
      <c r="D18" s="44">
        <v>5.6599964215981222</v>
      </c>
      <c r="E18" s="44">
        <v>5.6242369811782735</v>
      </c>
      <c r="F18" s="44">
        <v>1.9506324675925701</v>
      </c>
      <c r="G18" s="44">
        <v>1.1261736522577479</v>
      </c>
      <c r="H18" s="44">
        <v>1.6094306507054552</v>
      </c>
      <c r="I18" s="44">
        <v>1.7815869882432429</v>
      </c>
      <c r="J18" s="44">
        <v>1.9747684780473695</v>
      </c>
      <c r="K18" s="44"/>
      <c r="L18" s="30">
        <v>2021</v>
      </c>
      <c r="M18" s="44">
        <f>B18*'Inflation adjustment'!$F$20/'Inflation adjustment'!$F16</f>
        <v>2.7684580604190048</v>
      </c>
      <c r="N18" s="44">
        <f>C18*'Inflation adjustment'!$F$20/'Inflation adjustment'!$F16</f>
        <v>4.5670885250002824</v>
      </c>
      <c r="O18" s="44">
        <f>D18*'Inflation adjustment'!$F$20/'Inflation adjustment'!$F16</f>
        <v>6.7247157543586518</v>
      </c>
      <c r="P18" s="44">
        <f>E18*'Inflation adjustment'!$F$20/'Inflation adjustment'!$F16</f>
        <v>6.6822294956322716</v>
      </c>
      <c r="Q18" s="44">
        <f>F18*'Inflation adjustment'!$F$20/'Inflation adjustment'!$F16</f>
        <v>2.3175719397503589</v>
      </c>
      <c r="R18" s="44">
        <f>G18*'Inflation adjustment'!$F$20/'Inflation adjustment'!$F16</f>
        <v>1.3380216412474297</v>
      </c>
      <c r="S18" s="44">
        <f>H18*'Inflation adjustment'!$F$20/'Inflation adjustment'!$F16</f>
        <v>1.9121855998083412</v>
      </c>
      <c r="T18" s="44">
        <f>I18*'Inflation adjustment'!$F$20/'Inflation adjustment'!$F16</f>
        <v>2.1167267954238267</v>
      </c>
      <c r="U18" s="44">
        <f>J18*'Inflation adjustment'!$F$20/'Inflation adjustment'!$F16</f>
        <v>2.3462482493560328</v>
      </c>
      <c r="W18" s="119"/>
      <c r="X18" s="119"/>
      <c r="Y18" s="119"/>
      <c r="Z18" s="119"/>
      <c r="AA18" s="119"/>
      <c r="AB18" s="119"/>
      <c r="AC18" s="119"/>
      <c r="AD18" s="119"/>
      <c r="AE18" s="119"/>
      <c r="AF18" s="31"/>
      <c r="AG18" s="31"/>
      <c r="AH18" s="31"/>
      <c r="AI18" s="31"/>
      <c r="AJ18" s="31"/>
    </row>
    <row r="19" spans="1:36" ht="15.75" customHeight="1" x14ac:dyDescent="0.25">
      <c r="A19" s="30">
        <v>2022</v>
      </c>
      <c r="B19" s="44">
        <v>2.4359364157194179</v>
      </c>
      <c r="C19" s="44">
        <v>3.9615391157658251</v>
      </c>
      <c r="D19" s="44">
        <v>5.6325539203706114</v>
      </c>
      <c r="E19" s="44">
        <v>5.8820601276251212</v>
      </c>
      <c r="F19" s="44">
        <v>2.0653109241846437</v>
      </c>
      <c r="G19" s="44">
        <v>1.1736220070508678</v>
      </c>
      <c r="H19" s="44">
        <v>1.6492972203016667</v>
      </c>
      <c r="I19" s="44">
        <v>1.8430032271312475</v>
      </c>
      <c r="J19" s="44">
        <v>2.1975254218221907</v>
      </c>
      <c r="K19" s="44"/>
      <c r="L19" s="30">
        <v>2022</v>
      </c>
      <c r="M19" s="44">
        <f>B19*'Inflation adjustment'!$F$20/'Inflation adjustment'!$F17</f>
        <v>2.6797173377729977</v>
      </c>
      <c r="N19" s="44">
        <f>C19*'Inflation adjustment'!$F$20/'Inflation adjustment'!$F17</f>
        <v>4.3579975997232134</v>
      </c>
      <c r="O19" s="44">
        <f>D19*'Inflation adjustment'!$F$20/'Inflation adjustment'!$F17</f>
        <v>6.1962423563099076</v>
      </c>
      <c r="P19" s="44">
        <f>E19*'Inflation adjustment'!$F$20/'Inflation adjustment'!$F17</f>
        <v>6.4707183669098924</v>
      </c>
      <c r="Q19" s="44">
        <f>F19*'Inflation adjustment'!$F$20/'Inflation adjustment'!$F17</f>
        <v>2.2720008025312288</v>
      </c>
      <c r="R19" s="44">
        <f>G19*'Inflation adjustment'!$F$20/'Inflation adjustment'!$F17</f>
        <v>1.291074438557269</v>
      </c>
      <c r="S19" s="44">
        <f>H19*'Inflation adjustment'!$F$20/'Inflation adjustment'!$F17</f>
        <v>1.8143537441546516</v>
      </c>
      <c r="T19" s="44">
        <f>I19*'Inflation adjustment'!$F$20/'Inflation adjustment'!$F17</f>
        <v>2.0274452442374646</v>
      </c>
      <c r="U19" s="44">
        <f>J19*'Inflation adjustment'!$F$20/'Inflation adjustment'!$F17</f>
        <v>2.4174469148919431</v>
      </c>
      <c r="W19" s="119"/>
      <c r="X19" s="119"/>
      <c r="Y19" s="119"/>
      <c r="Z19" s="119"/>
      <c r="AA19" s="119"/>
      <c r="AB19" s="119"/>
      <c r="AC19" s="119"/>
      <c r="AD19" s="119"/>
      <c r="AE19" s="119"/>
      <c r="AF19" s="31"/>
      <c r="AG19" s="31"/>
      <c r="AH19" s="31"/>
      <c r="AI19" s="31"/>
      <c r="AJ19" s="31"/>
    </row>
    <row r="20" spans="1:36" ht="15.75" customHeight="1" x14ac:dyDescent="0.25">
      <c r="A20" s="30">
        <v>2023</v>
      </c>
      <c r="B20" s="44">
        <v>2.6230248484026029</v>
      </c>
      <c r="C20" s="44">
        <v>4.4390153991354078</v>
      </c>
      <c r="D20" s="44">
        <v>6.7945608864588838</v>
      </c>
      <c r="E20" s="44">
        <v>6.2660928206938298</v>
      </c>
      <c r="F20" s="44">
        <v>2.218317789138494</v>
      </c>
      <c r="G20" s="44">
        <v>1.2086342354051935</v>
      </c>
      <c r="H20" s="44">
        <v>1.7269708658538994</v>
      </c>
      <c r="I20" s="44">
        <v>1.7990475830449437</v>
      </c>
      <c r="J20" s="44">
        <v>2.3150171902156811</v>
      </c>
      <c r="K20" s="44"/>
      <c r="L20" s="30">
        <v>2023</v>
      </c>
      <c r="M20" s="44">
        <f>B20*'Inflation adjustment'!$F$20/'Inflation adjustment'!$F18</f>
        <v>2.7714438657090503</v>
      </c>
      <c r="N20" s="44">
        <f>C20*'Inflation adjustment'!$F$20/'Inflation adjustment'!$F18</f>
        <v>4.6901888883034912</v>
      </c>
      <c r="O20" s="44">
        <f>D20*'Inflation adjustment'!$F$20/'Inflation adjustment'!$F18</f>
        <v>7.1790185672205382</v>
      </c>
      <c r="P20" s="44">
        <f>E20*'Inflation adjustment'!$F$20/'Inflation adjustment'!$F18</f>
        <v>6.6206481118359362</v>
      </c>
      <c r="Q20" s="44">
        <f>F20*'Inflation adjustment'!$F$20/'Inflation adjustment'!$F18</f>
        <v>2.3438372048382163</v>
      </c>
      <c r="R20" s="44">
        <f>G20*'Inflation adjustment'!$F$20/'Inflation adjustment'!$F18</f>
        <v>1.2770225717227133</v>
      </c>
      <c r="S20" s="44">
        <f>H20*'Inflation adjustment'!$F$20/'Inflation adjustment'!$F18</f>
        <v>1.8246883232325417</v>
      </c>
      <c r="T20" s="44">
        <f>I20*'Inflation adjustment'!$F$20/'Inflation adjustment'!$F18</f>
        <v>1.9008433683672514</v>
      </c>
      <c r="U20" s="44">
        <f>J20*'Inflation adjustment'!$F$20/'Inflation adjustment'!$F18</f>
        <v>2.4460081629579293</v>
      </c>
      <c r="W20" s="119"/>
      <c r="X20" s="119"/>
      <c r="Y20" s="119"/>
      <c r="Z20" s="119"/>
      <c r="AA20" s="119"/>
      <c r="AB20" s="119"/>
      <c r="AC20" s="119"/>
      <c r="AD20" s="119"/>
      <c r="AE20" s="119"/>
      <c r="AF20" s="31"/>
      <c r="AG20" s="31"/>
      <c r="AH20" s="31"/>
      <c r="AI20" s="31"/>
      <c r="AJ20" s="31"/>
    </row>
    <row r="21" spans="1:36" ht="15.75" customHeight="1" x14ac:dyDescent="0.25">
      <c r="A21" s="30">
        <v>2024</v>
      </c>
      <c r="B21" s="44">
        <v>2.732476576189248</v>
      </c>
      <c r="C21" s="44">
        <v>4.7454281579142181</v>
      </c>
      <c r="D21" s="44">
        <v>7.9676245352003274</v>
      </c>
      <c r="E21" s="44">
        <v>6.7272909310865456</v>
      </c>
      <c r="F21" s="44">
        <v>2.3065469366915332</v>
      </c>
      <c r="G21" s="44">
        <v>1.3349367683554338</v>
      </c>
      <c r="H21" s="44">
        <v>1.8021722043257249</v>
      </c>
      <c r="I21" s="44">
        <v>2.0500756191030094</v>
      </c>
      <c r="J21" s="44">
        <v>2.5254067546230745</v>
      </c>
      <c r="K21" s="44"/>
      <c r="L21" s="30">
        <v>2024</v>
      </c>
      <c r="M21" s="44">
        <f>B21*'Inflation adjustment'!$F$20/'Inflation adjustment'!$F19</f>
        <v>2.8043753729588703</v>
      </c>
      <c r="N21" s="44">
        <f>C21*'Inflation adjustment'!$F$20/'Inflation adjustment'!$F19</f>
        <v>4.8702931165688845</v>
      </c>
      <c r="O21" s="44">
        <f>D21*'Inflation adjustment'!$F$20/'Inflation adjustment'!$F19</f>
        <v>8.1772741337311743</v>
      </c>
      <c r="P21" s="44">
        <f>E21*'Inflation adjustment'!$F$20/'Inflation adjustment'!$F19</f>
        <v>6.9043040215844211</v>
      </c>
      <c r="Q21" s="44">
        <f>F21*'Inflation adjustment'!$F$20/'Inflation adjustment'!$F19</f>
        <v>2.3672383808143804</v>
      </c>
      <c r="R21" s="44">
        <f>G21*'Inflation adjustment'!$F$20/'Inflation adjustment'!$F19</f>
        <v>1.3700625396958561</v>
      </c>
      <c r="S21" s="44">
        <f>H21*'Inflation adjustment'!$F$20/'Inflation adjustment'!$F19</f>
        <v>1.8495921947445935</v>
      </c>
      <c r="T21" s="44">
        <f>I21*'Inflation adjustment'!$F$20/'Inflation adjustment'!$F19</f>
        <v>2.1040186141078587</v>
      </c>
      <c r="U21" s="44">
        <f>J21*'Inflation adjustment'!$F$20/'Inflation adjustment'!$F19</f>
        <v>2.5918569883024789</v>
      </c>
      <c r="W21" s="119"/>
      <c r="X21" s="119"/>
      <c r="Y21" s="119"/>
      <c r="Z21" s="119"/>
      <c r="AA21" s="119"/>
      <c r="AB21" s="119"/>
      <c r="AC21" s="119"/>
      <c r="AD21" s="119"/>
      <c r="AE21" s="119"/>
      <c r="AF21" s="31"/>
      <c r="AG21" s="31"/>
      <c r="AH21" s="31"/>
      <c r="AI21" s="31"/>
      <c r="AJ21" s="31"/>
    </row>
    <row r="22" spans="1:36" ht="15.75" customHeight="1" x14ac:dyDescent="0.25">
      <c r="A22" s="30">
        <v>2025</v>
      </c>
      <c r="B22" s="44" t="s">
        <v>530</v>
      </c>
      <c r="C22" s="44" t="s">
        <v>530</v>
      </c>
      <c r="D22" s="44" t="s">
        <v>530</v>
      </c>
      <c r="E22" s="44" t="s">
        <v>530</v>
      </c>
      <c r="F22" s="44" t="s">
        <v>530</v>
      </c>
      <c r="G22" s="44" t="s">
        <v>530</v>
      </c>
      <c r="H22" s="44" t="s">
        <v>530</v>
      </c>
      <c r="I22" s="44" t="s">
        <v>530</v>
      </c>
      <c r="J22" s="44" t="s">
        <v>530</v>
      </c>
      <c r="K22" s="44"/>
      <c r="L22" s="30">
        <v>2025</v>
      </c>
      <c r="M22" s="44" t="s">
        <v>530</v>
      </c>
      <c r="N22" s="44" t="s">
        <v>530</v>
      </c>
      <c r="O22" s="44" t="s">
        <v>530</v>
      </c>
      <c r="P22" s="44" t="s">
        <v>530</v>
      </c>
      <c r="Q22" s="44" t="s">
        <v>530</v>
      </c>
      <c r="R22" s="44" t="s">
        <v>530</v>
      </c>
      <c r="S22" s="44" t="s">
        <v>530</v>
      </c>
      <c r="T22" s="44" t="s">
        <v>530</v>
      </c>
      <c r="U22" s="44" t="s">
        <v>530</v>
      </c>
      <c r="W22" s="119"/>
      <c r="X22" s="119"/>
      <c r="Y22" s="119"/>
      <c r="Z22" s="119"/>
      <c r="AA22" s="119"/>
      <c r="AB22" s="119"/>
      <c r="AC22" s="119"/>
      <c r="AD22" s="119"/>
      <c r="AE22" s="119"/>
      <c r="AF22" s="31"/>
      <c r="AG22" s="31"/>
      <c r="AH22" s="31"/>
      <c r="AI22" s="31"/>
      <c r="AJ22" s="31"/>
    </row>
    <row r="23" spans="1:36" x14ac:dyDescent="0.25">
      <c r="A23" s="30"/>
      <c r="B23" s="44"/>
      <c r="C23" s="44"/>
      <c r="D23" s="44"/>
      <c r="E23" s="44"/>
      <c r="F23" s="44"/>
      <c r="G23" s="44"/>
      <c r="H23" s="44"/>
      <c r="I23" s="44"/>
      <c r="J23" s="44"/>
      <c r="K23" s="44"/>
      <c r="L23" s="30"/>
      <c r="M23" s="44"/>
      <c r="N23" s="44"/>
      <c r="O23" s="44"/>
      <c r="P23" s="44"/>
      <c r="Q23" s="44"/>
      <c r="R23" s="44"/>
      <c r="S23" s="44"/>
    </row>
    <row r="24" spans="1:36" x14ac:dyDescent="0.25">
      <c r="L24" s="30"/>
      <c r="M24" s="194"/>
      <c r="N24" s="194"/>
      <c r="O24" s="194"/>
      <c r="P24" s="194"/>
      <c r="Q24" s="194"/>
      <c r="R24" s="194"/>
      <c r="S24" s="194"/>
      <c r="T24" s="194"/>
      <c r="U24" s="194"/>
    </row>
    <row r="25" spans="1:36" x14ac:dyDescent="0.25">
      <c r="A25" s="114" t="s">
        <v>197</v>
      </c>
      <c r="B25" t="s">
        <v>531</v>
      </c>
      <c r="C25" s="28"/>
      <c r="D25" s="28"/>
      <c r="E25" s="28"/>
      <c r="F25" s="28"/>
      <c r="G25" s="28"/>
      <c r="H25" s="28"/>
      <c r="I25" s="28"/>
      <c r="J25" s="28"/>
      <c r="K25" s="28"/>
      <c r="L25" s="30"/>
      <c r="M25" s="26"/>
      <c r="N25" s="26"/>
      <c r="O25" s="26"/>
      <c r="P25" s="26"/>
      <c r="Q25" s="26"/>
      <c r="R25" s="26"/>
      <c r="S25" s="26"/>
      <c r="T25" s="26"/>
      <c r="U25" s="26"/>
    </row>
    <row r="26" spans="1:36" x14ac:dyDescent="0.25">
      <c r="A26" s="114"/>
      <c r="B26"/>
      <c r="C26" s="28"/>
      <c r="D26" s="28"/>
      <c r="E26" s="28"/>
      <c r="F26" s="28"/>
      <c r="G26" s="28"/>
      <c r="H26" s="28"/>
      <c r="I26" s="28"/>
      <c r="J26" s="28"/>
      <c r="K26" s="28"/>
      <c r="M26" s="26"/>
      <c r="N26" s="26"/>
      <c r="O26" s="26"/>
      <c r="P26" s="26"/>
      <c r="Q26" s="26"/>
      <c r="R26" s="26"/>
      <c r="S26" s="26"/>
      <c r="T26" s="26"/>
      <c r="U26" s="26"/>
    </row>
    <row r="27" spans="1:36" x14ac:dyDescent="0.25">
      <c r="M27" s="26"/>
      <c r="N27" s="26"/>
      <c r="O27" s="26"/>
      <c r="P27" s="26"/>
      <c r="Q27" s="26"/>
      <c r="R27" s="26"/>
      <c r="S27" s="26"/>
      <c r="T27" s="26"/>
      <c r="U27" s="26"/>
    </row>
    <row r="28" spans="1:36" x14ac:dyDescent="0.25">
      <c r="A28" s="114" t="s">
        <v>205</v>
      </c>
      <c r="B28" s="28" t="s">
        <v>532</v>
      </c>
      <c r="M28" s="26"/>
      <c r="N28" s="26"/>
      <c r="O28" s="26"/>
      <c r="P28" s="26"/>
      <c r="Q28" s="26"/>
      <c r="R28" s="26"/>
      <c r="S28" s="26"/>
      <c r="T28" s="26"/>
      <c r="U28" s="26"/>
    </row>
    <row r="29" spans="1:36" x14ac:dyDescent="0.25">
      <c r="B29" t="s">
        <v>533</v>
      </c>
    </row>
    <row r="30" spans="1:36" x14ac:dyDescent="0.25">
      <c r="B30" t="s">
        <v>534</v>
      </c>
    </row>
    <row r="31" spans="1:36" s="25" customFormat="1" x14ac:dyDescent="0.25">
      <c r="B31" s="28" t="s">
        <v>488</v>
      </c>
      <c r="D31" s="30"/>
      <c r="L31"/>
      <c r="M31"/>
      <c r="N31"/>
      <c r="O31"/>
      <c r="P31"/>
      <c r="Q31"/>
      <c r="R31"/>
      <c r="S31"/>
    </row>
    <row r="32" spans="1:36" s="25" customFormat="1" x14ac:dyDescent="0.25">
      <c r="D32" s="30"/>
      <c r="L32"/>
      <c r="M32"/>
      <c r="N32"/>
      <c r="O32"/>
      <c r="P32"/>
      <c r="Q32"/>
      <c r="R32"/>
      <c r="S32"/>
    </row>
    <row r="33" spans="2:19" s="25" customFormat="1" x14ac:dyDescent="0.25">
      <c r="B33" s="28"/>
      <c r="D33" s="30"/>
      <c r="L33"/>
      <c r="M33"/>
      <c r="N33"/>
      <c r="O33"/>
      <c r="P33"/>
      <c r="Q33"/>
      <c r="R33"/>
      <c r="S33"/>
    </row>
    <row r="34" spans="2:19" s="25" customFormat="1" x14ac:dyDescent="0.25">
      <c r="B34" s="28"/>
      <c r="D34" s="30"/>
      <c r="L34"/>
      <c r="M34"/>
      <c r="N34"/>
      <c r="O34"/>
      <c r="P34"/>
      <c r="Q34"/>
      <c r="R34"/>
      <c r="S34"/>
    </row>
    <row r="39" spans="2:19" x14ac:dyDescent="0.25">
      <c r="D39" s="28"/>
    </row>
    <row r="40" spans="2:19" x14ac:dyDescent="0.25">
      <c r="D40" s="28"/>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398DB-35BA-4BFB-9DE6-ED81718EFEF1}">
  <sheetPr>
    <tabColor theme="7" tint="0.59999389629810485"/>
  </sheetPr>
  <dimension ref="A1:G33"/>
  <sheetViews>
    <sheetView workbookViewId="0"/>
  </sheetViews>
  <sheetFormatPr defaultRowHeight="15" x14ac:dyDescent="0.25"/>
  <cols>
    <col min="1" max="1" width="12.5703125" style="25" customWidth="1"/>
    <col min="2" max="2" width="24.5703125" style="25" customWidth="1"/>
    <col min="3" max="3" width="10.85546875" style="25" customWidth="1"/>
    <col min="4" max="4" width="11.42578125" style="25" customWidth="1"/>
    <col min="5" max="5" width="21.85546875" style="25" customWidth="1"/>
    <col min="6" max="6" width="25.42578125" customWidth="1"/>
    <col min="7" max="7" width="11.5703125" customWidth="1"/>
  </cols>
  <sheetData>
    <row r="1" spans="1:7" x14ac:dyDescent="0.25">
      <c r="A1" s="59" t="s">
        <v>535</v>
      </c>
      <c r="B1" s="59"/>
    </row>
    <row r="2" spans="1:7" x14ac:dyDescent="0.25">
      <c r="A2" s="28" t="s">
        <v>77</v>
      </c>
      <c r="B2" s="28"/>
    </row>
    <row r="4" spans="1:7" ht="48" customHeight="1" x14ac:dyDescent="0.25">
      <c r="A4" s="147" t="s">
        <v>158</v>
      </c>
      <c r="B4" s="43" t="s">
        <v>536</v>
      </c>
      <c r="D4" s="147" t="s">
        <v>158</v>
      </c>
      <c r="E4" s="43" t="s">
        <v>537</v>
      </c>
    </row>
    <row r="5" spans="1:7" x14ac:dyDescent="0.25">
      <c r="A5" s="146">
        <v>2010</v>
      </c>
      <c r="B5" s="44">
        <v>1.2394217572094817</v>
      </c>
      <c r="D5" s="146">
        <v>2010</v>
      </c>
      <c r="E5" s="44">
        <f>B5*'Inflation adjustment'!$E$20/tblCPI[[#This Row],[Northeast]]</f>
        <v>1.773362878007775</v>
      </c>
      <c r="G5" s="72"/>
    </row>
    <row r="6" spans="1:7" x14ac:dyDescent="0.25">
      <c r="A6" s="146">
        <v>2011</v>
      </c>
      <c r="B6" s="44">
        <v>1.2420122840046213</v>
      </c>
      <c r="D6" s="146">
        <v>2011</v>
      </c>
      <c r="E6" s="44">
        <f>B6*'Inflation adjustment'!$E$20/tblCPI[[#This Row],[Northeast]]</f>
        <v>1.7245014105945649</v>
      </c>
      <c r="G6" s="72"/>
    </row>
    <row r="7" spans="1:7" x14ac:dyDescent="0.25">
      <c r="A7" s="146">
        <v>2012</v>
      </c>
      <c r="B7" s="44">
        <v>1.394022465147341</v>
      </c>
      <c r="D7" s="146">
        <v>2012</v>
      </c>
      <c r="E7" s="44">
        <f>B7*'Inflation adjustment'!$E$20/tblCPI[[#This Row],[Northeast]]</f>
        <v>1.898529940181332</v>
      </c>
      <c r="G7" s="72"/>
    </row>
    <row r="8" spans="1:7" x14ac:dyDescent="0.25">
      <c r="A8" s="146">
        <v>2013</v>
      </c>
      <c r="B8" s="44">
        <v>1.6433387267537469</v>
      </c>
      <c r="D8" s="146">
        <v>2013</v>
      </c>
      <c r="E8" s="44">
        <f>B8*'Inflation adjustment'!$E$20/tblCPI[[#This Row],[Northeast]]</f>
        <v>2.2080594851744921</v>
      </c>
      <c r="G8" s="72"/>
    </row>
    <row r="9" spans="1:7" x14ac:dyDescent="0.25">
      <c r="A9" s="146">
        <v>2014</v>
      </c>
      <c r="B9" s="44">
        <v>1.795072329943397</v>
      </c>
      <c r="D9" s="146">
        <v>2014</v>
      </c>
      <c r="E9" s="44">
        <f>B9*'Inflation adjustment'!$E$20/tblCPI[[#This Row],[Northeast]]</f>
        <v>2.37921403493185</v>
      </c>
      <c r="G9" s="72"/>
    </row>
    <row r="10" spans="1:7" x14ac:dyDescent="0.25">
      <c r="A10" s="146">
        <v>2015</v>
      </c>
      <c r="B10" s="44">
        <v>1.8189837358349559</v>
      </c>
      <c r="D10" s="146">
        <v>2015</v>
      </c>
      <c r="E10" s="44">
        <f>B10*'Inflation adjustment'!$E$20/tblCPI[[#This Row],[Northeast]]</f>
        <v>2.4135642473486576</v>
      </c>
      <c r="G10" s="72"/>
    </row>
    <row r="11" spans="1:7" x14ac:dyDescent="0.25">
      <c r="A11" s="146">
        <v>2016</v>
      </c>
      <c r="B11" s="44">
        <v>2.0813288759054904</v>
      </c>
      <c r="D11" s="146">
        <v>2016</v>
      </c>
      <c r="E11" s="44">
        <f>B11*'Inflation adjustment'!$E$20/tblCPI[[#This Row],[Northeast]]</f>
        <v>2.7327844057200057</v>
      </c>
      <c r="G11" s="72"/>
    </row>
    <row r="12" spans="1:7" x14ac:dyDescent="0.25">
      <c r="A12" s="146">
        <v>2017</v>
      </c>
      <c r="B12" s="44">
        <v>2.2319134889183316</v>
      </c>
      <c r="D12" s="146">
        <v>2017</v>
      </c>
      <c r="E12" s="44">
        <f>B12*'Inflation adjustment'!$E$20/tblCPI[[#This Row],[Northeast]]</f>
        <v>2.8775687099186795</v>
      </c>
      <c r="G12" s="72"/>
    </row>
    <row r="13" spans="1:7" x14ac:dyDescent="0.25">
      <c r="A13" s="146">
        <v>2018</v>
      </c>
      <c r="B13" s="44">
        <v>2.2126567586177224</v>
      </c>
      <c r="D13" s="146">
        <v>2018</v>
      </c>
      <c r="E13" s="44">
        <f>B13*'Inflation adjustment'!$E$20/tblCPI[[#This Row],[Northeast]]</f>
        <v>2.79247782957296</v>
      </c>
      <c r="G13" s="72"/>
    </row>
    <row r="14" spans="1:7" x14ac:dyDescent="0.25">
      <c r="A14" s="146">
        <v>2019</v>
      </c>
      <c r="B14" s="44">
        <v>2.2899604365623123</v>
      </c>
      <c r="D14" s="146">
        <v>2019</v>
      </c>
      <c r="E14" s="44">
        <f>B14*'Inflation adjustment'!$E$20/tblCPI[[#This Row],[Northeast]]</f>
        <v>2.8444125340084629</v>
      </c>
      <c r="G14" s="72"/>
    </row>
    <row r="15" spans="1:7" x14ac:dyDescent="0.25">
      <c r="A15" s="146">
        <v>2020</v>
      </c>
      <c r="B15" s="44">
        <v>2.4165008428597603</v>
      </c>
      <c r="D15" s="146">
        <v>2020</v>
      </c>
      <c r="E15" s="44">
        <f>B15*'Inflation adjustment'!$E$20/tblCPI[[#This Row],[Northeast]]</f>
        <v>2.9629203945507174</v>
      </c>
      <c r="G15" s="72"/>
    </row>
    <row r="16" spans="1:7" x14ac:dyDescent="0.25">
      <c r="A16" s="146">
        <v>2021</v>
      </c>
      <c r="B16" s="44">
        <v>2.8074689722532296</v>
      </c>
      <c r="D16" s="146">
        <v>2021</v>
      </c>
      <c r="E16" s="44">
        <f>B16*'Inflation adjustment'!$E$20/tblCPI[[#This Row],[Northeast]]</f>
        <v>3.3130187318861148</v>
      </c>
      <c r="G16" s="72"/>
    </row>
    <row r="17" spans="1:7" x14ac:dyDescent="0.25">
      <c r="A17" s="146">
        <v>2022</v>
      </c>
      <c r="B17" s="44">
        <v>2.8209331115792735</v>
      </c>
      <c r="D17" s="146">
        <v>2022</v>
      </c>
      <c r="E17" s="44">
        <f>B17*'Inflation adjustment'!$E$20/tblCPI[[#This Row],[Northeast]]</f>
        <v>3.1120104046236099</v>
      </c>
      <c r="G17" s="72"/>
    </row>
    <row r="18" spans="1:7" x14ac:dyDescent="0.25">
      <c r="A18" s="146">
        <v>2023</v>
      </c>
      <c r="B18" s="44">
        <v>2.8564386599435143</v>
      </c>
      <c r="D18" s="146">
        <v>2023</v>
      </c>
      <c r="E18" s="44">
        <f>B18*'Inflation adjustment'!$E$20/tblCPI[[#This Row],[Northeast]]</f>
        <v>3.0460753236695672</v>
      </c>
      <c r="G18" s="72"/>
    </row>
    <row r="19" spans="1:7" x14ac:dyDescent="0.25">
      <c r="A19" s="146">
        <v>2024</v>
      </c>
      <c r="B19" s="44">
        <v>2.9881027395457624</v>
      </c>
      <c r="D19" s="146">
        <v>2024</v>
      </c>
      <c r="E19" s="44">
        <f>B19*'Inflation adjustment'!$E$20/tblCPI[[#This Row],[Northeast]]</f>
        <v>3.0822509533112945</v>
      </c>
      <c r="G19" s="72"/>
    </row>
    <row r="20" spans="1:7" x14ac:dyDescent="0.25">
      <c r="A20" s="146">
        <v>2025</v>
      </c>
      <c r="B20" s="44">
        <v>3.6809764681427497</v>
      </c>
      <c r="D20" s="146">
        <v>2025</v>
      </c>
      <c r="E20" s="44">
        <f>B20*'Inflation adjustment'!$E$20/tblCPI[[#This Row],[Northeast]]</f>
        <v>3.6809764681427497</v>
      </c>
      <c r="F20" s="26"/>
      <c r="G20" s="72"/>
    </row>
    <row r="21" spans="1:7" x14ac:dyDescent="0.25">
      <c r="A21" s="146"/>
      <c r="B21" s="44"/>
      <c r="D21" s="146"/>
      <c r="E21" s="44"/>
      <c r="F21" s="26"/>
    </row>
    <row r="22" spans="1:7" x14ac:dyDescent="0.25">
      <c r="A22" s="146"/>
      <c r="B22" s="71"/>
      <c r="C22" s="28"/>
      <c r="D22" s="28"/>
      <c r="E22" s="44"/>
    </row>
    <row r="24" spans="1:7" x14ac:dyDescent="0.25">
      <c r="A24" t="s">
        <v>197</v>
      </c>
      <c r="B24" s="28" t="s">
        <v>538</v>
      </c>
    </row>
    <row r="25" spans="1:7" x14ac:dyDescent="0.25">
      <c r="A25"/>
      <c r="B25" s="28" t="s">
        <v>539</v>
      </c>
    </row>
    <row r="26" spans="1:7" x14ac:dyDescent="0.25">
      <c r="B26" s="28" t="s">
        <v>540</v>
      </c>
    </row>
    <row r="27" spans="1:7" x14ac:dyDescent="0.25">
      <c r="B27" s="28" t="s">
        <v>541</v>
      </c>
    </row>
    <row r="29" spans="1:7" x14ac:dyDescent="0.25">
      <c r="A29" t="s">
        <v>205</v>
      </c>
      <c r="B29" s="28" t="s">
        <v>542</v>
      </c>
    </row>
    <row r="30" spans="1:7" x14ac:dyDescent="0.25">
      <c r="B30" t="s">
        <v>543</v>
      </c>
    </row>
    <row r="31" spans="1:7" x14ac:dyDescent="0.25">
      <c r="B31" t="s">
        <v>544</v>
      </c>
    </row>
    <row r="32" spans="1:7" x14ac:dyDescent="0.25">
      <c r="B32" t="s">
        <v>545</v>
      </c>
    </row>
    <row r="33" spans="2:2" x14ac:dyDescent="0.25">
      <c r="B33" t="s">
        <v>546</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F6808-A394-4C61-A834-964649CEAE60}">
  <sheetPr>
    <tabColor theme="9" tint="0.59999389629810485"/>
  </sheetPr>
  <dimension ref="A1:U33"/>
  <sheetViews>
    <sheetView workbookViewId="0">
      <selection activeCell="I13" sqref="I13"/>
    </sheetView>
  </sheetViews>
  <sheetFormatPr defaultRowHeight="15" x14ac:dyDescent="0.25"/>
  <cols>
    <col min="1" max="1" width="11.5703125" style="25" customWidth="1"/>
    <col min="2" max="3" width="13.42578125" style="25" customWidth="1"/>
    <col min="4" max="4" width="13.42578125" style="30" customWidth="1"/>
    <col min="5" max="8" width="13.42578125" style="25" customWidth="1"/>
    <col min="9" max="9" width="16.5703125" style="25" customWidth="1"/>
    <col min="10" max="10" width="21" style="25" customWidth="1"/>
    <col min="11" max="11" width="11.140625" style="25" customWidth="1"/>
    <col min="12" max="12" width="13" customWidth="1"/>
    <col min="13" max="19" width="12.5703125" customWidth="1"/>
    <col min="20" max="20" width="16.5703125" customWidth="1"/>
    <col min="21" max="21" width="18.42578125" customWidth="1"/>
  </cols>
  <sheetData>
    <row r="1" spans="1:21" x14ac:dyDescent="0.25">
      <c r="A1" s="59" t="s">
        <v>78</v>
      </c>
      <c r="B1" s="92"/>
    </row>
    <row r="2" spans="1:21" x14ac:dyDescent="0.25">
      <c r="A2" s="28" t="s">
        <v>79</v>
      </c>
    </row>
    <row r="3" spans="1:21" x14ac:dyDescent="0.25">
      <c r="A3" s="28"/>
    </row>
    <row r="4" spans="1:21" x14ac:dyDescent="0.25">
      <c r="A4" s="59" t="s">
        <v>526</v>
      </c>
      <c r="L4" s="59" t="s">
        <v>527</v>
      </c>
      <c r="M4" s="25"/>
      <c r="N4" s="25"/>
      <c r="O4" s="30"/>
      <c r="P4" s="25"/>
      <c r="Q4" s="25"/>
    </row>
    <row r="5" spans="1:21" s="31" customFormat="1" ht="18" customHeight="1" x14ac:dyDescent="0.25">
      <c r="A5" s="53" t="s">
        <v>158</v>
      </c>
      <c r="B5" s="27" t="s">
        <v>478</v>
      </c>
      <c r="C5" s="27" t="s">
        <v>480</v>
      </c>
      <c r="D5" s="27" t="s">
        <v>474</v>
      </c>
      <c r="E5" s="27" t="s">
        <v>479</v>
      </c>
      <c r="F5" s="27" t="s">
        <v>476</v>
      </c>
      <c r="G5" s="27" t="s">
        <v>475</v>
      </c>
      <c r="H5" s="27" t="s">
        <v>477</v>
      </c>
      <c r="I5" s="43" t="s">
        <v>528</v>
      </c>
      <c r="J5" s="43" t="s">
        <v>529</v>
      </c>
      <c r="K5" s="54"/>
      <c r="L5" s="53" t="s">
        <v>547</v>
      </c>
      <c r="M5" s="27" t="s">
        <v>478</v>
      </c>
      <c r="N5" s="27" t="s">
        <v>480</v>
      </c>
      <c r="O5" s="27" t="s">
        <v>474</v>
      </c>
      <c r="P5" s="27" t="s">
        <v>479</v>
      </c>
      <c r="Q5" s="27" t="s">
        <v>476</v>
      </c>
      <c r="R5" s="27" t="s">
        <v>475</v>
      </c>
      <c r="S5" s="27" t="s">
        <v>477</v>
      </c>
      <c r="T5" s="43" t="s">
        <v>528</v>
      </c>
      <c r="U5" s="43" t="s">
        <v>529</v>
      </c>
    </row>
    <row r="6" spans="1:21" s="31" customFormat="1" ht="18" customHeight="1" x14ac:dyDescent="0.25">
      <c r="A6" s="74">
        <v>2010</v>
      </c>
      <c r="B6" s="128">
        <f>'IOU distribution costs'!B6</f>
        <v>1.5594420870477597</v>
      </c>
      <c r="C6" s="128">
        <f>'IOU distribution costs'!C6</f>
        <v>2.3291685842105383</v>
      </c>
      <c r="D6" s="128">
        <f>'IOU distribution costs'!D6</f>
        <v>2.690351763471948</v>
      </c>
      <c r="E6" s="128">
        <f>'IOU distribution costs'!E6</f>
        <v>3.5693742947581448</v>
      </c>
      <c r="F6" s="128">
        <f>'IOU distribution costs'!F6</f>
        <v>1.390369305081925</v>
      </c>
      <c r="G6" s="128">
        <f>'IOU distribution costs'!G6</f>
        <v>1.1484075316960121</v>
      </c>
      <c r="H6" s="128">
        <f>'IOU distribution costs'!H6</f>
        <v>1.2031721714611205</v>
      </c>
      <c r="I6" s="128">
        <f>'IOU distribution costs'!I6</f>
        <v>1.429701567900413</v>
      </c>
      <c r="J6" s="128">
        <f>'IOU distribution costs'!J6</f>
        <v>1.4537052176832395</v>
      </c>
      <c r="K6" s="54"/>
      <c r="L6" s="74">
        <v>2010</v>
      </c>
      <c r="M6" s="44">
        <f>'IOU distribution costs'!M6</f>
        <v>2.3401626005323877</v>
      </c>
      <c r="N6" s="44">
        <f>'IOU distribution costs'!N6</f>
        <v>3.4952456756013799</v>
      </c>
      <c r="O6" s="44">
        <f>'IOU distribution costs'!O6</f>
        <v>4.0372519322422207</v>
      </c>
      <c r="P6" s="44">
        <f>'IOU distribution costs'!P6</f>
        <v>5.356349107973549</v>
      </c>
      <c r="Q6" s="44">
        <f>'IOU distribution costs'!Q6</f>
        <v>2.0864450662868883</v>
      </c>
      <c r="R6" s="44">
        <f>'IOU distribution costs'!R6</f>
        <v>1.7233473292570007</v>
      </c>
      <c r="S6" s="44">
        <f>'IOU distribution costs'!S6</f>
        <v>1.8055293883885182</v>
      </c>
      <c r="T6" s="44">
        <f>'IOU distribution costs'!T6</f>
        <v>2.1454686691552629</v>
      </c>
      <c r="U6" s="44">
        <f>'IOU distribution costs'!U6</f>
        <v>2.1814895281307893</v>
      </c>
    </row>
    <row r="7" spans="1:21" s="31" customFormat="1" ht="15.75" customHeight="1" x14ac:dyDescent="0.25">
      <c r="A7" s="30">
        <v>2019</v>
      </c>
      <c r="B7" s="128">
        <f>AVERAGE('IOU distribution costs'!B14:B15)</f>
        <v>2.1715548245036613</v>
      </c>
      <c r="C7" s="128">
        <f>AVERAGE('IOU distribution costs'!C14:C15)</f>
        <v>3.310496207171381</v>
      </c>
      <c r="D7" s="128">
        <f>AVERAGE('IOU distribution costs'!D14)</f>
        <v>3.6862285047422008</v>
      </c>
      <c r="E7" s="128">
        <f>AVERAGE('IOU distribution costs'!E14:E15)</f>
        <v>4.6914532607993404</v>
      </c>
      <c r="F7" s="128">
        <f>AVERAGE('IOU distribution costs'!F14:F15)</f>
        <v>1.6214067652513073</v>
      </c>
      <c r="G7" s="128">
        <f>AVERAGE('IOU distribution costs'!G14:G15)</f>
        <v>1.1710331529226534</v>
      </c>
      <c r="H7" s="128">
        <f>AVERAGE('IOU distribution costs'!H14:H15)</f>
        <v>1.468798002596077</v>
      </c>
      <c r="I7" s="128">
        <f>AVERAGE('IOU distribution costs'!I14:I15)</f>
        <v>1.6889579166635991</v>
      </c>
      <c r="J7" s="128">
        <f>AVERAGE('IOU distribution costs'!J14:J15)</f>
        <v>1.8092550679939561</v>
      </c>
      <c r="K7" s="54"/>
      <c r="L7" s="30">
        <v>2019</v>
      </c>
      <c r="M7" s="44">
        <f>AVERAGE('IOU distribution costs'!M14:M15)</f>
        <v>2.8183063606610128</v>
      </c>
      <c r="N7" s="44">
        <f>AVERAGE('IOU distribution costs'!N14:N15)</f>
        <v>4.29685321096858</v>
      </c>
      <c r="O7" s="44">
        <f>AVERAGE('IOU distribution costs'!O14)</f>
        <v>4.8415284901363345</v>
      </c>
      <c r="P7" s="44">
        <f>AVERAGE('IOU distribution costs'!P14:P15)</f>
        <v>6.0905939075639743</v>
      </c>
      <c r="Q7" s="44">
        <f>AVERAGE('IOU distribution costs'!Q14:Q15)</f>
        <v>2.1047250712598595</v>
      </c>
      <c r="R7" s="44">
        <f>AVERAGE('IOU distribution costs'!R14:R15)</f>
        <v>1.5206530319159022</v>
      </c>
      <c r="S7" s="44">
        <f>AVERAGE('IOU distribution costs'!S14:S15)</f>
        <v>1.9070420908590608</v>
      </c>
      <c r="T7" s="44">
        <f>AVERAGE('IOU distribution costs'!T14:T15)</f>
        <v>2.1928464227059212</v>
      </c>
      <c r="U7" s="44">
        <f>AVERAGE('IOU distribution costs'!U14:U15)</f>
        <v>2.3507578905655127</v>
      </c>
    </row>
    <row r="8" spans="1:21" s="31" customFormat="1" ht="15.75" customHeight="1" x14ac:dyDescent="0.25">
      <c r="A8" s="30">
        <v>2025</v>
      </c>
      <c r="B8" s="128">
        <f>'IOU distribution costs'!B21</f>
        <v>2.732476576189248</v>
      </c>
      <c r="C8" s="128">
        <f>'IOU distribution costs'!C21</f>
        <v>4.7454281579142181</v>
      </c>
      <c r="D8" s="128">
        <f>'IOU distribution costs'!D21</f>
        <v>7.9676245352003274</v>
      </c>
      <c r="E8" s="128">
        <f>'IOU distribution costs'!E21</f>
        <v>6.7272909310865456</v>
      </c>
      <c r="F8" s="128">
        <f>'IOU distribution costs'!F21</f>
        <v>2.3065469366915332</v>
      </c>
      <c r="G8" s="128">
        <f>'IOU distribution costs'!G21</f>
        <v>1.3349367683554338</v>
      </c>
      <c r="H8" s="128">
        <f>'IOU distribution costs'!H21</f>
        <v>1.8021722043257249</v>
      </c>
      <c r="I8" s="128">
        <f>'IOU distribution costs'!I21</f>
        <v>2.0500756191030094</v>
      </c>
      <c r="J8" s="128">
        <f>'IOU distribution costs'!J21</f>
        <v>2.5254067546230745</v>
      </c>
      <c r="K8" s="54"/>
      <c r="L8" s="30">
        <v>2025</v>
      </c>
      <c r="M8" s="44">
        <f>'IOU distribution costs'!M21</f>
        <v>2.8043753729588703</v>
      </c>
      <c r="N8" s="44">
        <f>'IOU distribution costs'!N21</f>
        <v>4.8702931165688845</v>
      </c>
      <c r="O8" s="44">
        <f>'IOU distribution costs'!O21</f>
        <v>8.1772741337311743</v>
      </c>
      <c r="P8" s="44">
        <f>'IOU distribution costs'!P21</f>
        <v>6.9043040215844211</v>
      </c>
      <c r="Q8" s="44">
        <f>'IOU distribution costs'!Q21</f>
        <v>2.3672383808143804</v>
      </c>
      <c r="R8" s="44">
        <f>'IOU distribution costs'!R21</f>
        <v>1.3700625396958561</v>
      </c>
      <c r="S8" s="44">
        <f>'IOU distribution costs'!S21</f>
        <v>1.8495921947445935</v>
      </c>
      <c r="T8" s="44">
        <f>'IOU distribution costs'!T21</f>
        <v>2.1040186141078587</v>
      </c>
      <c r="U8" s="44">
        <f>'IOU distribution costs'!U21</f>
        <v>2.5918569883024789</v>
      </c>
    </row>
    <row r="9" spans="1:21" x14ac:dyDescent="0.25">
      <c r="A9" s="30"/>
      <c r="B9" s="44"/>
      <c r="C9" s="44"/>
      <c r="D9" s="44"/>
      <c r="E9" s="44"/>
      <c r="F9" s="44"/>
      <c r="G9" s="44"/>
      <c r="H9" s="44"/>
      <c r="I9" s="44"/>
      <c r="J9" s="44"/>
      <c r="K9" s="44"/>
      <c r="L9" s="30"/>
      <c r="M9" s="44"/>
      <c r="N9" s="44"/>
      <c r="O9" s="44"/>
      <c r="P9" s="44"/>
      <c r="Q9" s="44"/>
      <c r="R9" s="44"/>
      <c r="S9" s="44"/>
    </row>
    <row r="11" spans="1:21" x14ac:dyDescent="0.25">
      <c r="A11" s="185" t="s">
        <v>548</v>
      </c>
      <c r="B11" s="96"/>
      <c r="C11" s="27"/>
      <c r="D11" s="29"/>
      <c r="E11" s="27"/>
      <c r="F11" s="27"/>
      <c r="G11" s="27"/>
      <c r="H11" s="27"/>
      <c r="I11" s="27"/>
      <c r="J11" s="27"/>
      <c r="L11" s="185" t="s">
        <v>548</v>
      </c>
      <c r="M11" s="96"/>
      <c r="N11" s="33"/>
      <c r="O11" s="33"/>
      <c r="P11" s="33"/>
      <c r="Q11" s="33"/>
      <c r="R11" s="33"/>
      <c r="S11" s="33"/>
      <c r="T11" s="33"/>
      <c r="U11" s="33"/>
    </row>
    <row r="12" spans="1:21" x14ac:dyDescent="0.25">
      <c r="A12" s="30" t="s">
        <v>549</v>
      </c>
      <c r="B12" s="44">
        <f>B8-B6</f>
        <v>1.1730344891414883</v>
      </c>
      <c r="C12" s="44">
        <f t="shared" ref="C12:J12" si="0">C8-C6</f>
        <v>2.4162595737036798</v>
      </c>
      <c r="D12" s="44">
        <f t="shared" si="0"/>
        <v>5.2772727717283789</v>
      </c>
      <c r="E12" s="44">
        <f t="shared" si="0"/>
        <v>3.1579166363284008</v>
      </c>
      <c r="F12" s="44">
        <f t="shared" si="0"/>
        <v>0.91617763160960819</v>
      </c>
      <c r="G12" s="44">
        <f t="shared" si="0"/>
        <v>0.18652923665942178</v>
      </c>
      <c r="H12" s="44">
        <f t="shared" si="0"/>
        <v>0.59900003286460435</v>
      </c>
      <c r="I12" s="44">
        <f t="shared" si="0"/>
        <v>0.62037405120259637</v>
      </c>
      <c r="J12" s="44">
        <f t="shared" si="0"/>
        <v>1.0717015369398351</v>
      </c>
      <c r="K12" s="76"/>
      <c r="L12" s="30" t="s">
        <v>549</v>
      </c>
      <c r="M12" s="44">
        <f>M8-M6</f>
        <v>0.46421277242648262</v>
      </c>
      <c r="N12" s="44">
        <f t="shared" ref="N12:U12" si="1">N8-N6</f>
        <v>1.3750474409675046</v>
      </c>
      <c r="O12" s="44">
        <f t="shared" si="1"/>
        <v>4.1400222014889536</v>
      </c>
      <c r="P12" s="44">
        <f t="shared" si="1"/>
        <v>1.5479549136108721</v>
      </c>
      <c r="Q12" s="44">
        <f t="shared" si="1"/>
        <v>0.28079331452749212</v>
      </c>
      <c r="R12" s="44">
        <f t="shared" si="1"/>
        <v>-0.35328478956114462</v>
      </c>
      <c r="S12" s="44">
        <f t="shared" si="1"/>
        <v>4.406280635607529E-2</v>
      </c>
      <c r="T12" s="44">
        <f t="shared" si="1"/>
        <v>-4.1450055047404177E-2</v>
      </c>
      <c r="U12" s="44">
        <f t="shared" si="1"/>
        <v>0.41036746017168957</v>
      </c>
    </row>
    <row r="13" spans="1:21" s="31" customFormat="1" ht="14.25" customHeight="1" x14ac:dyDescent="0.25">
      <c r="A13" s="56" t="s">
        <v>335</v>
      </c>
      <c r="B13" s="88">
        <f>B8-B7</f>
        <v>0.56092175168558667</v>
      </c>
      <c r="C13" s="88">
        <f t="shared" ref="C13:J13" si="2">C8-C7</f>
        <v>1.4349319507428371</v>
      </c>
      <c r="D13" s="88">
        <f t="shared" si="2"/>
        <v>4.2813960304581267</v>
      </c>
      <c r="E13" s="88">
        <f t="shared" si="2"/>
        <v>2.0358376702872052</v>
      </c>
      <c r="F13" s="88">
        <f t="shared" si="2"/>
        <v>0.68514017144022588</v>
      </c>
      <c r="G13" s="88">
        <f t="shared" si="2"/>
        <v>0.16390361543278043</v>
      </c>
      <c r="H13" s="88">
        <f t="shared" si="2"/>
        <v>0.33337420172964793</v>
      </c>
      <c r="I13" s="88">
        <f t="shared" si="2"/>
        <v>0.36111770243941033</v>
      </c>
      <c r="J13" s="88">
        <f t="shared" si="2"/>
        <v>0.71615168662911843</v>
      </c>
      <c r="K13" s="54"/>
      <c r="L13" s="56" t="s">
        <v>335</v>
      </c>
      <c r="M13" s="88">
        <f>M8-M7</f>
        <v>-1.3930987702142517E-2</v>
      </c>
      <c r="N13" s="88">
        <f>N8-N7</f>
        <v>0.57343990560030456</v>
      </c>
      <c r="O13" s="88">
        <f t="shared" ref="O13:U13" si="3">O8-O7</f>
        <v>3.3357456435948398</v>
      </c>
      <c r="P13" s="88">
        <f t="shared" si="3"/>
        <v>0.8137101140204468</v>
      </c>
      <c r="Q13" s="88">
        <f t="shared" si="3"/>
        <v>0.2625133095545209</v>
      </c>
      <c r="R13" s="88">
        <f t="shared" si="3"/>
        <v>-0.15059049222004606</v>
      </c>
      <c r="S13" s="88">
        <f t="shared" si="3"/>
        <v>-5.744989611446738E-2</v>
      </c>
      <c r="T13" s="88">
        <f t="shared" si="3"/>
        <v>-8.8827808598062497E-2</v>
      </c>
      <c r="U13" s="88">
        <f t="shared" si="3"/>
        <v>0.24109909773696625</v>
      </c>
    </row>
    <row r="14" spans="1:21" s="31" customFormat="1" ht="14.25" customHeight="1" x14ac:dyDescent="0.25">
      <c r="A14" s="56"/>
      <c r="B14" s="88"/>
      <c r="C14" s="88"/>
      <c r="D14" s="88"/>
      <c r="E14" s="88"/>
      <c r="F14" s="88"/>
      <c r="G14" s="88"/>
      <c r="H14" s="88"/>
      <c r="I14" s="88"/>
      <c r="J14" s="88"/>
      <c r="K14" s="54"/>
      <c r="L14" s="56"/>
      <c r="M14" s="88"/>
      <c r="N14" s="88"/>
      <c r="O14" s="88"/>
      <c r="P14" s="88"/>
      <c r="Q14" s="88"/>
      <c r="R14" s="88"/>
      <c r="S14" s="88"/>
    </row>
    <row r="15" spans="1:21" x14ac:dyDescent="0.25">
      <c r="B15"/>
      <c r="C15" s="28"/>
      <c r="D15" s="28"/>
      <c r="E15" s="28"/>
      <c r="F15" s="28"/>
      <c r="G15" s="28"/>
      <c r="H15" s="28"/>
      <c r="I15" s="28"/>
      <c r="J15" s="28"/>
      <c r="K15" s="28"/>
      <c r="M15" s="26"/>
      <c r="N15" s="26"/>
      <c r="O15" s="26"/>
      <c r="P15" s="26"/>
      <c r="Q15" s="26"/>
      <c r="R15" s="26"/>
      <c r="S15" s="26"/>
      <c r="T15" s="26"/>
      <c r="U15" s="26"/>
    </row>
    <row r="16" spans="1:21" x14ac:dyDescent="0.25">
      <c r="A16" s="114" t="s">
        <v>197</v>
      </c>
      <c r="B16" t="s">
        <v>550</v>
      </c>
      <c r="C16" s="28"/>
      <c r="D16" s="28"/>
      <c r="E16" s="28"/>
      <c r="F16" s="28"/>
      <c r="G16" s="28"/>
      <c r="H16" s="28"/>
      <c r="I16" s="28"/>
      <c r="J16" s="28"/>
      <c r="K16" s="28"/>
      <c r="M16" s="26"/>
      <c r="N16" s="26"/>
      <c r="O16" s="26"/>
      <c r="P16" s="26"/>
    </row>
    <row r="17" spans="1:19" x14ac:dyDescent="0.25">
      <c r="A17" s="114"/>
      <c r="B17"/>
      <c r="C17" s="28"/>
      <c r="D17" s="28"/>
      <c r="E17" s="28"/>
      <c r="F17" s="28"/>
      <c r="G17" s="28"/>
      <c r="H17" s="28"/>
      <c r="I17" s="28"/>
      <c r="J17" s="28"/>
      <c r="K17" s="28"/>
      <c r="M17" s="26"/>
      <c r="N17" s="26"/>
      <c r="O17" s="26"/>
      <c r="P17" s="26"/>
    </row>
    <row r="19" spans="1:19" x14ac:dyDescent="0.25">
      <c r="A19" s="114" t="s">
        <v>205</v>
      </c>
      <c r="B19" s="28" t="s">
        <v>532</v>
      </c>
    </row>
    <row r="20" spans="1:19" x14ac:dyDescent="0.25">
      <c r="B20" s="28" t="s">
        <v>551</v>
      </c>
    </row>
    <row r="21" spans="1:19" s="25" customFormat="1" x14ac:dyDescent="0.25">
      <c r="B21" s="28" t="s">
        <v>552</v>
      </c>
      <c r="D21" s="30"/>
      <c r="L21"/>
      <c r="M21"/>
      <c r="N21"/>
      <c r="O21"/>
      <c r="P21"/>
      <c r="Q21"/>
      <c r="R21"/>
      <c r="S21"/>
    </row>
    <row r="22" spans="1:19" s="25" customFormat="1" x14ac:dyDescent="0.25">
      <c r="B22" s="28" t="s">
        <v>553</v>
      </c>
      <c r="D22" s="30"/>
      <c r="L22"/>
      <c r="M22"/>
      <c r="N22"/>
      <c r="O22"/>
      <c r="P22"/>
      <c r="Q22"/>
      <c r="R22"/>
      <c r="S22"/>
    </row>
    <row r="23" spans="1:19" s="25" customFormat="1" x14ac:dyDescent="0.25">
      <c r="B23" s="28" t="s">
        <v>554</v>
      </c>
      <c r="D23" s="30"/>
      <c r="L23"/>
      <c r="M23"/>
      <c r="N23"/>
      <c r="O23"/>
      <c r="P23"/>
      <c r="Q23"/>
      <c r="R23"/>
      <c r="S23"/>
    </row>
    <row r="24" spans="1:19" s="25" customFormat="1" x14ac:dyDescent="0.25">
      <c r="B24" s="28" t="s">
        <v>555</v>
      </c>
      <c r="D24" s="30"/>
      <c r="L24"/>
      <c r="M24"/>
      <c r="N24"/>
      <c r="O24"/>
      <c r="P24"/>
      <c r="Q24"/>
      <c r="R24"/>
      <c r="S24"/>
    </row>
    <row r="25" spans="1:19" s="25" customFormat="1" x14ac:dyDescent="0.25">
      <c r="B25" s="28" t="s">
        <v>488</v>
      </c>
      <c r="D25" s="30"/>
      <c r="L25"/>
      <c r="M25"/>
      <c r="N25"/>
      <c r="O25"/>
      <c r="P25"/>
      <c r="Q25"/>
      <c r="R25"/>
      <c r="S25"/>
    </row>
    <row r="26" spans="1:19" s="25" customFormat="1" x14ac:dyDescent="0.25">
      <c r="B26" s="28"/>
      <c r="D26" s="30"/>
      <c r="L26"/>
      <c r="M26"/>
      <c r="N26"/>
      <c r="O26"/>
      <c r="P26"/>
      <c r="Q26"/>
      <c r="R26"/>
      <c r="S26"/>
    </row>
    <row r="27" spans="1:19" s="25" customFormat="1" x14ac:dyDescent="0.25">
      <c r="B27" s="28"/>
      <c r="D27" s="30"/>
      <c r="L27"/>
      <c r="M27"/>
      <c r="N27"/>
      <c r="O27"/>
      <c r="P27"/>
      <c r="Q27"/>
      <c r="R27"/>
      <c r="S27"/>
    </row>
    <row r="32" spans="1:19" x14ac:dyDescent="0.25">
      <c r="D32" s="28"/>
    </row>
    <row r="33" spans="4:4" x14ac:dyDescent="0.25">
      <c r="D33" s="28"/>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E3DB3-432C-49D3-8BA1-E9AF5E637B21}">
  <sheetPr>
    <tabColor theme="0" tint="-0.14999847407452621"/>
  </sheetPr>
  <dimension ref="A1:N66"/>
  <sheetViews>
    <sheetView workbookViewId="0">
      <selection activeCell="D37" sqref="D37"/>
    </sheetView>
  </sheetViews>
  <sheetFormatPr defaultRowHeight="15" x14ac:dyDescent="0.25"/>
  <cols>
    <col min="1" max="4" width="12" customWidth="1"/>
    <col min="5" max="5" width="12.140625" customWidth="1"/>
    <col min="6" max="6" width="12" customWidth="1"/>
    <col min="8" max="8" width="17.5703125" customWidth="1"/>
    <col min="9" max="9" width="27.42578125" customWidth="1"/>
    <col min="10" max="10" width="17.42578125" customWidth="1"/>
  </cols>
  <sheetData>
    <row r="1" spans="1:10" x14ac:dyDescent="0.25">
      <c r="A1" s="24" t="s">
        <v>21</v>
      </c>
    </row>
    <row r="2" spans="1:10" x14ac:dyDescent="0.25">
      <c r="A2" s="296" t="s">
        <v>157</v>
      </c>
      <c r="B2" s="297"/>
      <c r="C2" s="297"/>
      <c r="D2" s="297"/>
      <c r="E2" s="297"/>
    </row>
    <row r="4" spans="1:10" x14ac:dyDescent="0.25">
      <c r="A4" s="29" t="s">
        <v>158</v>
      </c>
      <c r="B4" s="27" t="s">
        <v>159</v>
      </c>
      <c r="C4" s="27" t="s">
        <v>160</v>
      </c>
      <c r="D4" s="27" t="s">
        <v>161</v>
      </c>
      <c r="E4" s="27" t="s">
        <v>162</v>
      </c>
      <c r="F4" s="27" t="s">
        <v>163</v>
      </c>
      <c r="G4" s="27" t="s">
        <v>164</v>
      </c>
      <c r="I4" s="32" t="s">
        <v>165</v>
      </c>
      <c r="J4" s="33" t="s">
        <v>166</v>
      </c>
    </row>
    <row r="5" spans="1:10" x14ac:dyDescent="0.25">
      <c r="A5" s="30">
        <v>2010</v>
      </c>
      <c r="B5" s="26">
        <v>221.203</v>
      </c>
      <c r="C5" s="26">
        <v>208.04599999999999</v>
      </c>
      <c r="D5" s="26">
        <v>211.33799999999999</v>
      </c>
      <c r="E5" s="26">
        <v>233.86799999999999</v>
      </c>
      <c r="F5" s="275">
        <v>218.05600000000001</v>
      </c>
      <c r="G5" s="26"/>
      <c r="I5" s="34" t="s">
        <v>167</v>
      </c>
      <c r="J5" t="s">
        <v>162</v>
      </c>
    </row>
    <row r="6" spans="1:10" x14ac:dyDescent="0.25">
      <c r="A6" s="30">
        <v>2011</v>
      </c>
      <c r="B6" s="26">
        <v>227.48500000000001</v>
      </c>
      <c r="C6" s="26">
        <v>214.74299999999999</v>
      </c>
      <c r="D6" s="26">
        <v>218.61799999999999</v>
      </c>
      <c r="E6" s="26">
        <v>240.99700000000001</v>
      </c>
      <c r="F6" s="275">
        <v>224.93899999999999</v>
      </c>
      <c r="G6" s="26"/>
      <c r="I6" t="s">
        <v>168</v>
      </c>
      <c r="J6" t="s">
        <v>162</v>
      </c>
    </row>
    <row r="7" spans="1:10" x14ac:dyDescent="0.25">
      <c r="A7" s="30">
        <v>2012</v>
      </c>
      <c r="B7" s="26">
        <v>232.376</v>
      </c>
      <c r="C7" s="26">
        <v>219.1</v>
      </c>
      <c r="D7" s="26">
        <v>223.24199999999999</v>
      </c>
      <c r="E7" s="26">
        <v>245.69800000000001</v>
      </c>
      <c r="F7" s="275">
        <v>229.59399999999999</v>
      </c>
      <c r="G7" s="26"/>
      <c r="I7" t="s">
        <v>169</v>
      </c>
      <c r="J7" t="s">
        <v>162</v>
      </c>
    </row>
    <row r="8" spans="1:10" x14ac:dyDescent="0.25">
      <c r="A8" s="30">
        <v>2013</v>
      </c>
      <c r="B8" s="26">
        <v>235.82400000000001</v>
      </c>
      <c r="C8" s="26">
        <v>222.17</v>
      </c>
      <c r="D8" s="26">
        <v>226.721</v>
      </c>
      <c r="E8" s="26">
        <v>249.03800000000001</v>
      </c>
      <c r="F8" s="275">
        <v>232.95699999999999</v>
      </c>
      <c r="G8" s="26"/>
      <c r="I8" t="s">
        <v>170</v>
      </c>
      <c r="J8" t="s">
        <v>162</v>
      </c>
    </row>
    <row r="9" spans="1:10" x14ac:dyDescent="0.25">
      <c r="A9" s="30">
        <v>2014</v>
      </c>
      <c r="B9" s="26">
        <v>240.215</v>
      </c>
      <c r="C9" s="26">
        <v>225.42500000000001</v>
      </c>
      <c r="D9" s="26">
        <v>230.55199999999999</v>
      </c>
      <c r="E9" s="26">
        <v>252.46299999999999</v>
      </c>
      <c r="F9" s="275">
        <v>236.73599999999999</v>
      </c>
      <c r="G9" s="26"/>
      <c r="I9" t="s">
        <v>171</v>
      </c>
      <c r="J9" t="s">
        <v>162</v>
      </c>
    </row>
    <row r="10" spans="1:10" x14ac:dyDescent="0.25">
      <c r="A10" s="30">
        <v>2015</v>
      </c>
      <c r="B10" s="26">
        <v>243.01499999999999</v>
      </c>
      <c r="C10" s="26">
        <v>224.21</v>
      </c>
      <c r="D10" s="26">
        <v>230.14699999999999</v>
      </c>
      <c r="E10" s="26">
        <v>252.185</v>
      </c>
      <c r="F10" s="275">
        <v>237.017</v>
      </c>
      <c r="G10" s="26"/>
      <c r="I10" t="s">
        <v>172</v>
      </c>
      <c r="J10" t="s">
        <v>162</v>
      </c>
    </row>
    <row r="11" spans="1:10" x14ac:dyDescent="0.25">
      <c r="A11" s="30">
        <v>2016</v>
      </c>
      <c r="B11" s="26">
        <v>247.70500000000001</v>
      </c>
      <c r="C11" s="26">
        <v>226.11500000000001</v>
      </c>
      <c r="D11" s="26">
        <v>232.69200000000001</v>
      </c>
      <c r="E11" s="26">
        <v>254.85</v>
      </c>
      <c r="F11" s="275">
        <v>240.00700000000001</v>
      </c>
      <c r="G11" s="26"/>
      <c r="I11" t="s">
        <v>173</v>
      </c>
      <c r="J11" t="s">
        <v>162</v>
      </c>
    </row>
    <row r="12" spans="1:10" x14ac:dyDescent="0.25">
      <c r="A12" s="30">
        <v>2017</v>
      </c>
      <c r="B12" s="26">
        <v>254.738</v>
      </c>
      <c r="C12" s="26">
        <v>229.874</v>
      </c>
      <c r="D12" s="26">
        <v>237.45599999999999</v>
      </c>
      <c r="E12" s="26">
        <v>259.53800000000001</v>
      </c>
      <c r="F12" s="275">
        <v>245.12</v>
      </c>
      <c r="G12" s="26"/>
      <c r="I12" s="34" t="s">
        <v>174</v>
      </c>
      <c r="J12" t="s">
        <v>162</v>
      </c>
    </row>
    <row r="13" spans="1:10" x14ac:dyDescent="0.25">
      <c r="A13" s="30">
        <v>2018</v>
      </c>
      <c r="B13" s="26">
        <v>263.26299999999998</v>
      </c>
      <c r="C13" s="26">
        <v>234.29</v>
      </c>
      <c r="D13" s="26">
        <v>242.73699999999999</v>
      </c>
      <c r="E13" s="26">
        <v>265.13900000000001</v>
      </c>
      <c r="F13" s="275">
        <v>251.107</v>
      </c>
      <c r="G13" s="26"/>
      <c r="I13" t="s">
        <v>175</v>
      </c>
      <c r="J13" t="s">
        <v>162</v>
      </c>
    </row>
    <row r="14" spans="1:10" x14ac:dyDescent="0.25">
      <c r="A14" s="30">
        <v>2019</v>
      </c>
      <c r="B14" s="26">
        <v>270.35000000000002</v>
      </c>
      <c r="C14" s="26">
        <v>237.77600000000001</v>
      </c>
      <c r="D14" s="26">
        <v>246.26499999999999</v>
      </c>
      <c r="E14" s="26">
        <v>269.392</v>
      </c>
      <c r="F14" s="275">
        <v>255.65700000000001</v>
      </c>
      <c r="G14" s="26"/>
      <c r="I14" t="s">
        <v>176</v>
      </c>
      <c r="J14" t="s">
        <v>162</v>
      </c>
    </row>
    <row r="15" spans="1:10" x14ac:dyDescent="0.25">
      <c r="A15" s="30">
        <v>2020</v>
      </c>
      <c r="B15" s="26">
        <v>275.05700000000002</v>
      </c>
      <c r="C15" s="26">
        <v>240.04</v>
      </c>
      <c r="D15" s="26">
        <v>248.63900000000001</v>
      </c>
      <c r="E15" s="26">
        <v>272.90800000000002</v>
      </c>
      <c r="F15" s="275">
        <v>258.81099999999998</v>
      </c>
      <c r="G15" s="26"/>
      <c r="I15" t="s">
        <v>177</v>
      </c>
      <c r="J15" t="s">
        <v>162</v>
      </c>
    </row>
    <row r="16" spans="1:10" x14ac:dyDescent="0.25">
      <c r="A16" s="30">
        <v>2021</v>
      </c>
      <c r="B16" s="26">
        <v>287.49400000000003</v>
      </c>
      <c r="C16" s="26">
        <v>252.24199999999999</v>
      </c>
      <c r="D16" s="26">
        <v>261.25900000000001</v>
      </c>
      <c r="E16" s="26">
        <v>283.55700000000002</v>
      </c>
      <c r="F16" s="275">
        <v>270.97000000000003</v>
      </c>
      <c r="G16" s="26"/>
      <c r="I16" s="34" t="s">
        <v>178</v>
      </c>
      <c r="J16" t="s">
        <v>160</v>
      </c>
    </row>
    <row r="17" spans="1:14" x14ac:dyDescent="0.25">
      <c r="A17" s="30">
        <v>2022</v>
      </c>
      <c r="B17" s="26">
        <v>310.50900000000001</v>
      </c>
      <c r="C17" s="26">
        <v>272.40100000000001</v>
      </c>
      <c r="D17" s="26">
        <v>283.666</v>
      </c>
      <c r="E17" s="26">
        <v>303.32</v>
      </c>
      <c r="F17" s="275">
        <v>292.65499999999997</v>
      </c>
      <c r="G17" s="26"/>
      <c r="I17" t="s">
        <v>179</v>
      </c>
      <c r="J17" t="s">
        <v>160</v>
      </c>
    </row>
    <row r="18" spans="1:14" x14ac:dyDescent="0.25">
      <c r="A18" s="30">
        <v>2023</v>
      </c>
      <c r="B18" s="26">
        <v>323.834</v>
      </c>
      <c r="C18" s="26">
        <v>282.76</v>
      </c>
      <c r="D18" s="26">
        <v>296.42200000000003</v>
      </c>
      <c r="E18" s="26">
        <v>313.786</v>
      </c>
      <c r="F18" s="275">
        <v>304.702</v>
      </c>
      <c r="G18" s="26"/>
      <c r="I18" t="s">
        <v>180</v>
      </c>
      <c r="J18" t="s">
        <v>160</v>
      </c>
    </row>
    <row r="19" spans="1:14" x14ac:dyDescent="0.25">
      <c r="A19" s="30">
        <v>2024</v>
      </c>
      <c r="B19" s="26">
        <v>332.94499999999999</v>
      </c>
      <c r="C19" s="26">
        <v>290.37</v>
      </c>
      <c r="D19" s="26">
        <v>305.18700000000001</v>
      </c>
      <c r="E19" s="26">
        <v>324.39699999999999</v>
      </c>
      <c r="F19" s="275">
        <v>313.68900000000002</v>
      </c>
      <c r="G19" s="26"/>
      <c r="I19" t="s">
        <v>181</v>
      </c>
      <c r="J19" t="s">
        <v>160</v>
      </c>
    </row>
    <row r="20" spans="1:14" x14ac:dyDescent="0.25">
      <c r="A20" s="30">
        <v>2025</v>
      </c>
      <c r="B20" s="26">
        <v>341.85</v>
      </c>
      <c r="C20" s="26">
        <v>298.43299999999999</v>
      </c>
      <c r="D20" s="26">
        <v>311.99700000000001</v>
      </c>
      <c r="E20" s="26">
        <v>334.61799999999999</v>
      </c>
      <c r="F20" s="275">
        <v>321.94299999999998</v>
      </c>
      <c r="G20" s="26"/>
      <c r="I20" t="s">
        <v>182</v>
      </c>
      <c r="J20" t="s">
        <v>160</v>
      </c>
      <c r="N20" s="26"/>
    </row>
    <row r="21" spans="1:14" x14ac:dyDescent="0.25">
      <c r="A21" s="30" t="s">
        <v>183</v>
      </c>
      <c r="B21" s="26">
        <f>B20*1.028</f>
        <v>351.42180000000002</v>
      </c>
      <c r="C21" s="26">
        <f>C20*1.028</f>
        <v>306.78912400000002</v>
      </c>
      <c r="D21" s="26">
        <f>D20*1.028</f>
        <v>320.73291600000005</v>
      </c>
      <c r="E21" s="26">
        <f>E20*1.028</f>
        <v>343.98730399999999</v>
      </c>
      <c r="F21" s="26">
        <f>F20*1.028</f>
        <v>330.957404</v>
      </c>
      <c r="G21" s="26" t="s">
        <v>184</v>
      </c>
      <c r="I21" t="s">
        <v>185</v>
      </c>
      <c r="J21" t="s">
        <v>160</v>
      </c>
    </row>
    <row r="22" spans="1:14" x14ac:dyDescent="0.25">
      <c r="A22" s="30" t="s">
        <v>186</v>
      </c>
      <c r="B22" s="26">
        <f>B21*1.024</f>
        <v>359.85592320000001</v>
      </c>
      <c r="C22" s="26">
        <f>C21*1.024</f>
        <v>314.15206297600002</v>
      </c>
      <c r="D22" s="26">
        <f>D21*1.024</f>
        <v>328.43050598400004</v>
      </c>
      <c r="E22" s="26">
        <f>E21*1.024</f>
        <v>352.24299929599999</v>
      </c>
      <c r="F22" s="26">
        <f>F21*1.024</f>
        <v>338.90038169600001</v>
      </c>
      <c r="G22" s="26" t="s">
        <v>187</v>
      </c>
      <c r="I22" s="34" t="s">
        <v>188</v>
      </c>
      <c r="J22" t="s">
        <v>160</v>
      </c>
    </row>
    <row r="23" spans="1:14" x14ac:dyDescent="0.25">
      <c r="A23" s="30" t="s">
        <v>189</v>
      </c>
      <c r="B23" s="26">
        <f t="shared" ref="B23:F25" si="0">B22*1.023</f>
        <v>368.13260943359995</v>
      </c>
      <c r="C23" s="26">
        <f t="shared" si="0"/>
        <v>321.37756042444801</v>
      </c>
      <c r="D23" s="26">
        <f t="shared" si="0"/>
        <v>335.98440762163199</v>
      </c>
      <c r="E23" s="26">
        <f t="shared" si="0"/>
        <v>360.34458827980797</v>
      </c>
      <c r="F23" s="26">
        <f t="shared" si="0"/>
        <v>346.69509047500799</v>
      </c>
      <c r="G23" s="26" t="s">
        <v>190</v>
      </c>
      <c r="I23" t="s">
        <v>191</v>
      </c>
      <c r="J23" t="s">
        <v>160</v>
      </c>
    </row>
    <row r="24" spans="1:14" x14ac:dyDescent="0.25">
      <c r="A24" s="30" t="s">
        <v>192</v>
      </c>
      <c r="B24" s="26">
        <f t="shared" si="0"/>
        <v>376.59965945057274</v>
      </c>
      <c r="C24" s="26">
        <f t="shared" si="0"/>
        <v>328.76924431421025</v>
      </c>
      <c r="D24" s="26">
        <f t="shared" si="0"/>
        <v>343.71204899692947</v>
      </c>
      <c r="E24" s="26">
        <f t="shared" si="0"/>
        <v>368.63251381024349</v>
      </c>
      <c r="F24" s="26">
        <f t="shared" si="0"/>
        <v>354.66907755593314</v>
      </c>
      <c r="G24" s="26" t="s">
        <v>190</v>
      </c>
      <c r="I24" t="s">
        <v>193</v>
      </c>
      <c r="J24" t="s">
        <v>160</v>
      </c>
    </row>
    <row r="25" spans="1:14" x14ac:dyDescent="0.25">
      <c r="A25" s="30" t="s">
        <v>194</v>
      </c>
      <c r="B25" s="26">
        <f t="shared" si="0"/>
        <v>385.2614516179359</v>
      </c>
      <c r="C25" s="26">
        <f t="shared" si="0"/>
        <v>336.33093693343704</v>
      </c>
      <c r="D25" s="26">
        <f t="shared" si="0"/>
        <v>351.61742612385882</v>
      </c>
      <c r="E25" s="26">
        <f t="shared" si="0"/>
        <v>377.11106162787905</v>
      </c>
      <c r="F25" s="26">
        <f t="shared" si="0"/>
        <v>362.82646633971956</v>
      </c>
      <c r="G25" s="26" t="s">
        <v>190</v>
      </c>
      <c r="I25" t="s">
        <v>195</v>
      </c>
      <c r="J25" t="s">
        <v>160</v>
      </c>
    </row>
    <row r="26" spans="1:14" x14ac:dyDescent="0.25">
      <c r="I26" t="s">
        <v>196</v>
      </c>
      <c r="J26" t="s">
        <v>160</v>
      </c>
    </row>
    <row r="27" spans="1:14" x14ac:dyDescent="0.25">
      <c r="A27" t="s">
        <v>197</v>
      </c>
      <c r="B27" t="s">
        <v>198</v>
      </c>
      <c r="I27" t="s">
        <v>199</v>
      </c>
      <c r="J27" t="s">
        <v>160</v>
      </c>
    </row>
    <row r="28" spans="1:14" x14ac:dyDescent="0.25">
      <c r="B28" t="s">
        <v>200</v>
      </c>
      <c r="I28" t="s">
        <v>201</v>
      </c>
      <c r="J28" t="s">
        <v>160</v>
      </c>
    </row>
    <row r="29" spans="1:14" x14ac:dyDescent="0.25">
      <c r="B29" t="s">
        <v>202</v>
      </c>
      <c r="I29" t="s">
        <v>203</v>
      </c>
      <c r="J29" t="s">
        <v>160</v>
      </c>
    </row>
    <row r="30" spans="1:14" x14ac:dyDescent="0.25">
      <c r="I30" s="34" t="s">
        <v>204</v>
      </c>
      <c r="J30" t="s">
        <v>161</v>
      </c>
    </row>
    <row r="31" spans="1:14" x14ac:dyDescent="0.25">
      <c r="A31" t="s">
        <v>205</v>
      </c>
      <c r="B31" t="s">
        <v>206</v>
      </c>
      <c r="I31" t="s">
        <v>207</v>
      </c>
      <c r="J31" t="s">
        <v>161</v>
      </c>
    </row>
    <row r="32" spans="1:14" x14ac:dyDescent="0.25">
      <c r="I32" t="s">
        <v>208</v>
      </c>
      <c r="J32" t="s">
        <v>161</v>
      </c>
    </row>
    <row r="33" spans="9:10" x14ac:dyDescent="0.25">
      <c r="I33" t="s">
        <v>209</v>
      </c>
      <c r="J33" t="s">
        <v>161</v>
      </c>
    </row>
    <row r="34" spans="9:10" x14ac:dyDescent="0.25">
      <c r="I34" t="s">
        <v>210</v>
      </c>
      <c r="J34" t="s">
        <v>161</v>
      </c>
    </row>
    <row r="35" spans="9:10" x14ac:dyDescent="0.25">
      <c r="I35" t="s">
        <v>211</v>
      </c>
      <c r="J35" t="s">
        <v>161</v>
      </c>
    </row>
    <row r="36" spans="9:10" x14ac:dyDescent="0.25">
      <c r="I36" t="s">
        <v>212</v>
      </c>
      <c r="J36" t="s">
        <v>161</v>
      </c>
    </row>
    <row r="37" spans="9:10" x14ac:dyDescent="0.25">
      <c r="I37" t="s">
        <v>213</v>
      </c>
      <c r="J37" t="s">
        <v>161</v>
      </c>
    </row>
    <row r="38" spans="9:10" x14ac:dyDescent="0.25">
      <c r="I38" t="s">
        <v>214</v>
      </c>
      <c r="J38" t="s">
        <v>161</v>
      </c>
    </row>
    <row r="39" spans="9:10" x14ac:dyDescent="0.25">
      <c r="I39" t="s">
        <v>215</v>
      </c>
      <c r="J39" t="s">
        <v>161</v>
      </c>
    </row>
    <row r="40" spans="9:10" x14ac:dyDescent="0.25">
      <c r="I40" s="34" t="s">
        <v>216</v>
      </c>
      <c r="J40" t="s">
        <v>161</v>
      </c>
    </row>
    <row r="41" spans="9:10" x14ac:dyDescent="0.25">
      <c r="I41" t="s">
        <v>217</v>
      </c>
      <c r="J41" t="s">
        <v>161</v>
      </c>
    </row>
    <row r="42" spans="9:10" x14ac:dyDescent="0.25">
      <c r="I42" t="s">
        <v>218</v>
      </c>
      <c r="J42" t="s">
        <v>161</v>
      </c>
    </row>
    <row r="43" spans="9:10" x14ac:dyDescent="0.25">
      <c r="I43" t="s">
        <v>219</v>
      </c>
      <c r="J43" t="s">
        <v>161</v>
      </c>
    </row>
    <row r="44" spans="9:10" x14ac:dyDescent="0.25">
      <c r="I44" t="s">
        <v>220</v>
      </c>
      <c r="J44" t="s">
        <v>161</v>
      </c>
    </row>
    <row r="45" spans="9:10" x14ac:dyDescent="0.25">
      <c r="I45" s="34" t="s">
        <v>221</v>
      </c>
      <c r="J45" t="s">
        <v>161</v>
      </c>
    </row>
    <row r="46" spans="9:10" x14ac:dyDescent="0.25">
      <c r="I46" t="s">
        <v>222</v>
      </c>
      <c r="J46" t="s">
        <v>161</v>
      </c>
    </row>
    <row r="47" spans="9:10" x14ac:dyDescent="0.25">
      <c r="I47" t="s">
        <v>223</v>
      </c>
      <c r="J47" t="s">
        <v>161</v>
      </c>
    </row>
    <row r="48" spans="9:10" x14ac:dyDescent="0.25">
      <c r="I48" t="s">
        <v>224</v>
      </c>
      <c r="J48" t="s">
        <v>161</v>
      </c>
    </row>
    <row r="49" spans="9:10" x14ac:dyDescent="0.25">
      <c r="I49" t="s">
        <v>225</v>
      </c>
      <c r="J49" t="s">
        <v>161</v>
      </c>
    </row>
    <row r="50" spans="9:10" x14ac:dyDescent="0.25">
      <c r="I50" s="34" t="s">
        <v>226</v>
      </c>
      <c r="J50" t="s">
        <v>159</v>
      </c>
    </row>
    <row r="51" spans="9:10" x14ac:dyDescent="0.25">
      <c r="I51" t="s">
        <v>227</v>
      </c>
      <c r="J51" t="s">
        <v>159</v>
      </c>
    </row>
    <row r="52" spans="9:10" x14ac:dyDescent="0.25">
      <c r="I52" t="s">
        <v>228</v>
      </c>
      <c r="J52" t="s">
        <v>159</v>
      </c>
    </row>
    <row r="53" spans="9:10" x14ac:dyDescent="0.25">
      <c r="I53" t="s">
        <v>229</v>
      </c>
      <c r="J53" t="s">
        <v>159</v>
      </c>
    </row>
    <row r="54" spans="9:10" x14ac:dyDescent="0.25">
      <c r="I54" t="s">
        <v>230</v>
      </c>
      <c r="J54" t="s">
        <v>159</v>
      </c>
    </row>
    <row r="55" spans="9:10" x14ac:dyDescent="0.25">
      <c r="I55" t="s">
        <v>231</v>
      </c>
      <c r="J55" t="s">
        <v>159</v>
      </c>
    </row>
    <row r="56" spans="9:10" x14ac:dyDescent="0.25">
      <c r="I56" t="s">
        <v>232</v>
      </c>
      <c r="J56" t="s">
        <v>159</v>
      </c>
    </row>
    <row r="57" spans="9:10" x14ac:dyDescent="0.25">
      <c r="I57" t="s">
        <v>233</v>
      </c>
      <c r="J57" t="s">
        <v>159</v>
      </c>
    </row>
    <row r="58" spans="9:10" x14ac:dyDescent="0.25">
      <c r="I58" t="s">
        <v>234</v>
      </c>
      <c r="J58" t="s">
        <v>159</v>
      </c>
    </row>
    <row r="59" spans="9:10" x14ac:dyDescent="0.25">
      <c r="I59" s="34" t="s">
        <v>235</v>
      </c>
      <c r="J59" t="s">
        <v>159</v>
      </c>
    </row>
    <row r="60" spans="9:10" x14ac:dyDescent="0.25">
      <c r="I60" t="s">
        <v>236</v>
      </c>
      <c r="J60" t="s">
        <v>159</v>
      </c>
    </row>
    <row r="61" spans="9:10" x14ac:dyDescent="0.25">
      <c r="I61" t="s">
        <v>237</v>
      </c>
      <c r="J61" t="s">
        <v>159</v>
      </c>
    </row>
    <row r="62" spans="9:10" x14ac:dyDescent="0.25">
      <c r="I62" t="s">
        <v>238</v>
      </c>
      <c r="J62" t="s">
        <v>159</v>
      </c>
    </row>
    <row r="63" spans="9:10" x14ac:dyDescent="0.25">
      <c r="I63" s="34" t="s">
        <v>239</v>
      </c>
      <c r="J63" t="s">
        <v>159</v>
      </c>
    </row>
    <row r="64" spans="9:10" x14ac:dyDescent="0.25">
      <c r="I64" t="s">
        <v>240</v>
      </c>
      <c r="J64" t="s">
        <v>159</v>
      </c>
    </row>
    <row r="65" spans="9:10" x14ac:dyDescent="0.25">
      <c r="I65" t="s">
        <v>241</v>
      </c>
      <c r="J65" t="s">
        <v>159</v>
      </c>
    </row>
    <row r="66" spans="9:10" x14ac:dyDescent="0.25">
      <c r="I66" s="34" t="s">
        <v>242</v>
      </c>
      <c r="J66" t="s">
        <v>163</v>
      </c>
    </row>
  </sheetData>
  <mergeCells count="1">
    <mergeCell ref="A2:E2"/>
  </mergeCells>
  <pageMargins left="0.7" right="0.7" top="0.75" bottom="0.75" header="0.3" footer="0.3"/>
  <pageSetup orientation="portrait" r:id="rId1"/>
  <tableParts count="2">
    <tablePart r:id="rId2"/>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33288-7604-4273-B26A-866A907E1892}">
  <sheetPr>
    <tabColor theme="9" tint="0.59999389629810485"/>
  </sheetPr>
  <dimension ref="A1:Q39"/>
  <sheetViews>
    <sheetView workbookViewId="0">
      <selection activeCell="D40" sqref="D40"/>
    </sheetView>
  </sheetViews>
  <sheetFormatPr defaultRowHeight="15" x14ac:dyDescent="0.25"/>
  <cols>
    <col min="1" max="1" width="11.5703125" style="25" customWidth="1"/>
    <col min="2" max="3" width="13.42578125" style="25" customWidth="1"/>
    <col min="4" max="4" width="13.42578125" style="30" customWidth="1"/>
    <col min="5" max="8" width="13.42578125" style="25" customWidth="1"/>
    <col min="9" max="9" width="11.140625" style="25" customWidth="1"/>
    <col min="10" max="10" width="13" customWidth="1"/>
    <col min="11" max="17" width="12.5703125" customWidth="1"/>
  </cols>
  <sheetData>
    <row r="1" spans="1:17" x14ac:dyDescent="0.25">
      <c r="A1" s="59" t="s">
        <v>81</v>
      </c>
      <c r="B1" s="92"/>
    </row>
    <row r="2" spans="1:17" x14ac:dyDescent="0.25">
      <c r="A2" s="28" t="s">
        <v>82</v>
      </c>
    </row>
    <row r="3" spans="1:17" x14ac:dyDescent="0.25">
      <c r="A3" s="28"/>
    </row>
    <row r="4" spans="1:17" x14ac:dyDescent="0.25">
      <c r="A4" s="59" t="s">
        <v>556</v>
      </c>
      <c r="J4" s="59" t="s">
        <v>557</v>
      </c>
      <c r="K4" s="25"/>
      <c r="L4" s="25"/>
      <c r="M4" s="30"/>
      <c r="N4" s="25"/>
      <c r="O4" s="25"/>
    </row>
    <row r="5" spans="1:17" s="31" customFormat="1" ht="18" customHeight="1" x14ac:dyDescent="0.25">
      <c r="A5" s="53" t="s">
        <v>158</v>
      </c>
      <c r="B5" s="27" t="s">
        <v>478</v>
      </c>
      <c r="C5" s="27" t="s">
        <v>480</v>
      </c>
      <c r="D5" s="27" t="s">
        <v>474</v>
      </c>
      <c r="E5" s="27" t="s">
        <v>479</v>
      </c>
      <c r="F5" s="27" t="s">
        <v>476</v>
      </c>
      <c r="G5" s="27" t="s">
        <v>475</v>
      </c>
      <c r="H5" s="27" t="s">
        <v>477</v>
      </c>
      <c r="I5" s="54"/>
      <c r="J5" s="53" t="s">
        <v>158</v>
      </c>
      <c r="K5" s="27" t="s">
        <v>478</v>
      </c>
      <c r="L5" s="27" t="s">
        <v>480</v>
      </c>
      <c r="M5" s="27" t="s">
        <v>474</v>
      </c>
      <c r="N5" s="27" t="s">
        <v>479</v>
      </c>
      <c r="O5" s="27" t="s">
        <v>476</v>
      </c>
      <c r="P5" s="27" t="s">
        <v>475</v>
      </c>
      <c r="Q5" s="27" t="s">
        <v>477</v>
      </c>
    </row>
    <row r="6" spans="1:17" s="31" customFormat="1" ht="15.75" customHeight="1" x14ac:dyDescent="0.25">
      <c r="A6" s="30">
        <v>2010</v>
      </c>
      <c r="B6" s="44">
        <v>0.4531</v>
      </c>
      <c r="C6" s="44">
        <v>1.2394217572094817</v>
      </c>
      <c r="D6" s="44">
        <v>0.80691963544862322</v>
      </c>
      <c r="E6" s="44">
        <v>0.61482704464660887</v>
      </c>
      <c r="F6" s="44">
        <v>0.48781562416276492</v>
      </c>
      <c r="G6" s="44">
        <v>0.43873751337700095</v>
      </c>
      <c r="H6" s="44">
        <v>0.28154495345429842</v>
      </c>
      <c r="I6" s="54"/>
      <c r="J6" s="30">
        <v>2010</v>
      </c>
      <c r="K6" s="44">
        <f>B6*'Inflation adjustment'!$F$20/'Inflation adjustment'!$F5</f>
        <v>0.66896748220640567</v>
      </c>
      <c r="L6" s="44">
        <f>C6*'Inflation adjustment'!$F$20/'Inflation adjustment'!$F5</f>
        <v>1.8299113933177353</v>
      </c>
      <c r="M6" s="44">
        <f>D6*'Inflation adjustment'!$F$20/'Inflation adjustment'!$F5</f>
        <v>1.1913551023371798</v>
      </c>
      <c r="N6" s="44">
        <f>E6*'Inflation adjustment'!$F$20/'Inflation adjustment'!$F5</f>
        <v>0.90774508949381438</v>
      </c>
      <c r="O6" s="44">
        <f>F6*'Inflation adjustment'!$F$20/'Inflation adjustment'!$F5</f>
        <v>0.72022244510507849</v>
      </c>
      <c r="P6" s="44">
        <f>G6*'Inflation adjustment'!$F$20/'Inflation adjustment'!$F5</f>
        <v>0.64776236961666633</v>
      </c>
      <c r="Q6" s="44">
        <f>H6*'Inflation adjustment'!$F$20/'Inflation adjustment'!$F5</f>
        <v>0.4156795820795447</v>
      </c>
    </row>
    <row r="7" spans="1:17" s="31" customFormat="1" ht="15.75" customHeight="1" x14ac:dyDescent="0.25">
      <c r="A7" s="30">
        <v>2011</v>
      </c>
      <c r="B7" s="44">
        <v>0.5141</v>
      </c>
      <c r="C7" s="44">
        <v>1.2420122840046213</v>
      </c>
      <c r="D7" s="44">
        <v>0.98731990302843653</v>
      </c>
      <c r="E7" s="44">
        <v>0.61994331353116494</v>
      </c>
      <c r="F7" s="44">
        <v>0.51785098106450633</v>
      </c>
      <c r="G7" s="44">
        <v>0.45524635151231879</v>
      </c>
      <c r="H7" s="44">
        <v>0.37888011832505336</v>
      </c>
      <c r="I7" s="54"/>
      <c r="J7" s="30">
        <v>2011</v>
      </c>
      <c r="K7" s="44">
        <f>B7*'Inflation adjustment'!$F$20/'Inflation adjustment'!$F6</f>
        <v>0.73580346805133834</v>
      </c>
      <c r="L7" s="44">
        <f>C7*'Inflation adjustment'!$F$20/'Inflation adjustment'!$F6</f>
        <v>1.7776248705173392</v>
      </c>
      <c r="M7" s="44">
        <f>D7*'Inflation adjustment'!$F$20/'Inflation adjustment'!$F6</f>
        <v>1.4130974688279219</v>
      </c>
      <c r="N7" s="44">
        <f>E7*'Inflation adjustment'!$F$20/'Inflation adjustment'!$F6</f>
        <v>0.8872912664685263</v>
      </c>
      <c r="O7" s="44">
        <f>F7*'Inflation adjustment'!$F$20/'Inflation adjustment'!$F6</f>
        <v>0.74117204396236469</v>
      </c>
      <c r="P7" s="44">
        <f>G7*'Inflation adjustment'!$F$20/'Inflation adjustment'!$F6</f>
        <v>0.65156943057864769</v>
      </c>
      <c r="Q7" s="44">
        <f>H7*'Inflation adjustment'!$F$20/'Inflation adjustment'!$F6</f>
        <v>0.54227057973016091</v>
      </c>
    </row>
    <row r="8" spans="1:17" s="31" customFormat="1" ht="15.75" customHeight="1" x14ac:dyDescent="0.25">
      <c r="A8" s="30">
        <v>2012</v>
      </c>
      <c r="B8" s="44">
        <v>0.57619999999999993</v>
      </c>
      <c r="C8" s="44">
        <v>1.394022465147341</v>
      </c>
      <c r="D8" s="44">
        <v>0.99259321128803124</v>
      </c>
      <c r="E8" s="44">
        <v>0.64236132145362279</v>
      </c>
      <c r="F8" s="44">
        <v>0.54973564868843561</v>
      </c>
      <c r="G8" s="44">
        <v>0.50791156813678984</v>
      </c>
      <c r="H8" s="44">
        <v>0.44809205515283218</v>
      </c>
      <c r="I8" s="54"/>
      <c r="J8" s="30">
        <v>2012</v>
      </c>
      <c r="K8" s="44">
        <f>B8*'Inflation adjustment'!$F$20/'Inflation adjustment'!$F7</f>
        <v>0.80796343371342449</v>
      </c>
      <c r="L8" s="44">
        <f>C8*'Inflation adjustment'!$F$20/'Inflation adjustment'!$F7</f>
        <v>1.9547365109581714</v>
      </c>
      <c r="M8" s="44">
        <f>D8*'Inflation adjustment'!$F$20/'Inflation adjustment'!$F7</f>
        <v>1.3918414079710386</v>
      </c>
      <c r="N8" s="44">
        <f>E8*'Inflation adjustment'!$F$20/'Inflation adjustment'!$F7</f>
        <v>0.90073665214571674</v>
      </c>
      <c r="O8" s="44">
        <f>F8*'Inflation adjustment'!$F$20/'Inflation adjustment'!$F7</f>
        <v>0.77085439491319907</v>
      </c>
      <c r="P8" s="44">
        <f>G8*'Inflation adjustment'!$F$20/'Inflation adjustment'!$F7</f>
        <v>0.71220752276044896</v>
      </c>
      <c r="Q8" s="44">
        <f>H8*'Inflation adjustment'!$F$20/'Inflation adjustment'!$F7</f>
        <v>0.62832696199407756</v>
      </c>
    </row>
    <row r="9" spans="1:17" s="31" customFormat="1" ht="15.75" customHeight="1" x14ac:dyDescent="0.25">
      <c r="A9" s="30">
        <v>2013</v>
      </c>
      <c r="B9" s="44">
        <v>0.62819999999999998</v>
      </c>
      <c r="C9" s="44">
        <v>1.6433387267537469</v>
      </c>
      <c r="D9" s="44">
        <v>1.1667506561181951</v>
      </c>
      <c r="E9" s="44">
        <v>0.70893644220611485</v>
      </c>
      <c r="F9" s="44">
        <v>0.58358349117668329</v>
      </c>
      <c r="G9" s="44">
        <v>0.52770591467773287</v>
      </c>
      <c r="H9" s="44">
        <v>0.51100867536666872</v>
      </c>
      <c r="I9" s="54"/>
      <c r="J9" s="30">
        <v>2013</v>
      </c>
      <c r="K9" s="44">
        <f>B9*'Inflation adjustment'!$F$20/'Inflation adjustment'!$F8</f>
        <v>0.86816276222650524</v>
      </c>
      <c r="L9" s="44">
        <f>C9*'Inflation adjustment'!$F$20/'Inflation adjustment'!$F8</f>
        <v>2.2710689084564173</v>
      </c>
      <c r="M9" s="44">
        <f>D9*'Inflation adjustment'!$F$20/'Inflation adjustment'!$F8</f>
        <v>1.6124315065984711</v>
      </c>
      <c r="N9" s="44">
        <f>E9*'Inflation adjustment'!$F$20/'Inflation adjustment'!$F8</f>
        <v>0.97973928670597243</v>
      </c>
      <c r="O9" s="44">
        <f>F9*'Inflation adjustment'!$F$20/'Inflation adjustment'!$F8</f>
        <v>0.80650343153412418</v>
      </c>
      <c r="P9" s="44">
        <f>G9*'Inflation adjustment'!$F$20/'Inflation adjustment'!$F8</f>
        <v>0.72928147808004629</v>
      </c>
      <c r="Q9" s="44">
        <f>H9*'Inflation adjustment'!$F$20/'Inflation adjustment'!$F8</f>
        <v>0.70620614951931659</v>
      </c>
    </row>
    <row r="10" spans="1:17" s="31" customFormat="1" ht="15.75" customHeight="1" x14ac:dyDescent="0.25">
      <c r="A10" s="30">
        <v>2014</v>
      </c>
      <c r="B10" s="44">
        <v>0.72909999999999997</v>
      </c>
      <c r="C10" s="44">
        <v>1.795072329943397</v>
      </c>
      <c r="D10" s="44">
        <v>1.1851492423747869</v>
      </c>
      <c r="E10" s="44">
        <v>0.70366109097320617</v>
      </c>
      <c r="F10" s="44">
        <v>0.55387424631630877</v>
      </c>
      <c r="G10" s="44">
        <v>0.58817759494251853</v>
      </c>
      <c r="H10" s="44">
        <v>0.60448499881070128</v>
      </c>
      <c r="I10" s="54"/>
      <c r="J10" s="30">
        <v>2014</v>
      </c>
      <c r="K10" s="44">
        <f>B10*'Inflation adjustment'!$F$20/'Inflation adjustment'!$F9</f>
        <v>0.9915206867565558</v>
      </c>
      <c r="L10" s="44">
        <f>C10*'Inflation adjustment'!$F$20/'Inflation adjustment'!$F9</f>
        <v>2.4411621853835794</v>
      </c>
      <c r="M10" s="44">
        <f>D10*'Inflation adjustment'!$F$20/'Inflation adjustment'!$F9</f>
        <v>1.6117130581654924</v>
      </c>
      <c r="N10" s="44">
        <f>E10*'Inflation adjustment'!$F$20/'Inflation adjustment'!$F9</f>
        <v>0.95692570040545977</v>
      </c>
      <c r="O10" s="44">
        <f>F10*'Inflation adjustment'!$F$20/'Inflation adjustment'!$F9</f>
        <v>0.75322695526582939</v>
      </c>
      <c r="P10" s="44">
        <f>G10*'Inflation adjustment'!$F$20/'Inflation adjustment'!$F9</f>
        <v>0.79987690697054625</v>
      </c>
      <c r="Q10" s="44">
        <f>H10*'Inflation adjustment'!$F$20/'Inflation adjustment'!$F9</f>
        <v>0.82205373906847112</v>
      </c>
    </row>
    <row r="11" spans="1:17" s="31" customFormat="1" ht="15.75" customHeight="1" x14ac:dyDescent="0.25">
      <c r="A11" s="30">
        <v>2015</v>
      </c>
      <c r="B11" s="44">
        <v>0.88009999999999999</v>
      </c>
      <c r="C11" s="44">
        <v>1.8189837358349559</v>
      </c>
      <c r="D11" s="44">
        <v>1.419591968864359</v>
      </c>
      <c r="E11" s="44">
        <v>0.59363208241098753</v>
      </c>
      <c r="F11" s="44">
        <v>0.66049034788759786</v>
      </c>
      <c r="G11" s="44">
        <v>0.76236093121015602</v>
      </c>
      <c r="H11" s="44">
        <v>0.63279776284570577</v>
      </c>
      <c r="I11" s="54"/>
      <c r="J11" s="30">
        <v>2015</v>
      </c>
      <c r="K11" s="44">
        <f>B11*'Inflation adjustment'!$F$20/'Inflation adjustment'!$F10</f>
        <v>1.1954502601079247</v>
      </c>
      <c r="L11" s="44">
        <f>C11*'Inflation adjustment'!$F$20/'Inflation adjustment'!$F10</f>
        <v>2.4707471652493838</v>
      </c>
      <c r="M11" s="44">
        <f>D11*'Inflation adjustment'!$F$20/'Inflation adjustment'!$F10</f>
        <v>1.9282485949619577</v>
      </c>
      <c r="N11" s="44">
        <f>E11*'Inflation adjustment'!$F$20/'Inflation adjustment'!$F10</f>
        <v>0.80633749270153843</v>
      </c>
      <c r="O11" s="44">
        <f>F11*'Inflation adjustment'!$F$20/'Inflation adjustment'!$F10</f>
        <v>0.89715186703897576</v>
      </c>
      <c r="P11" s="44">
        <f>G11*'Inflation adjustment'!$F$20/'Inflation adjustment'!$F10</f>
        <v>1.0355238876392463</v>
      </c>
      <c r="Q11" s="44">
        <f>H11*'Inflation adjustment'!$F$20/'Inflation adjustment'!$F10</f>
        <v>0.85953670059040088</v>
      </c>
    </row>
    <row r="12" spans="1:17" s="31" customFormat="1" ht="15.75" customHeight="1" x14ac:dyDescent="0.25">
      <c r="A12" s="30">
        <v>2016</v>
      </c>
      <c r="B12" s="44">
        <v>0.97409999999999997</v>
      </c>
      <c r="C12" s="44">
        <v>2.0813288759054904</v>
      </c>
      <c r="D12" s="44">
        <v>1.4608158333888235</v>
      </c>
      <c r="E12" s="44">
        <v>0.74366533718461958</v>
      </c>
      <c r="F12" s="44">
        <v>0.768309951316415</v>
      </c>
      <c r="G12" s="44">
        <v>0.8618745087937778</v>
      </c>
      <c r="H12" s="44">
        <v>0.71872217461511456</v>
      </c>
      <c r="I12" s="54"/>
      <c r="J12" s="30">
        <v>2016</v>
      </c>
      <c r="K12" s="44">
        <f>B12*'Inflation adjustment'!$F$20/'Inflation adjustment'!$F11</f>
        <v>1.3066480406821468</v>
      </c>
      <c r="L12" s="44">
        <f>C12*'Inflation adjustment'!$F$20/'Inflation adjustment'!$F11</f>
        <v>2.7918738299117996</v>
      </c>
      <c r="M12" s="44">
        <f>D12*'Inflation adjustment'!$F$20/'Inflation adjustment'!$F11</f>
        <v>1.9595238132583548</v>
      </c>
      <c r="N12" s="44">
        <f>E12*'Inflation adjustment'!$F$20/'Inflation adjustment'!$F11</f>
        <v>0.99754527846782792</v>
      </c>
      <c r="O12" s="44">
        <f>F12*'Inflation adjustment'!$F$20/'Inflation adjustment'!$F11</f>
        <v>1.0306033184726302</v>
      </c>
      <c r="P12" s="44">
        <f>G12*'Inflation adjustment'!$F$20/'Inflation adjustment'!$F11</f>
        <v>1.1561098842308566</v>
      </c>
      <c r="Q12" s="44">
        <f>H12*'Inflation adjustment'!$F$20/'Inflation adjustment'!$F11</f>
        <v>0.96408676856139108</v>
      </c>
    </row>
    <row r="13" spans="1:17" s="31" customFormat="1" ht="15.75" customHeight="1" x14ac:dyDescent="0.25">
      <c r="A13" s="30">
        <v>2017</v>
      </c>
      <c r="B13" s="44">
        <v>1.0910000000000002</v>
      </c>
      <c r="C13" s="44">
        <v>2.2319134889183316</v>
      </c>
      <c r="D13" s="44">
        <v>1.5020396979132882</v>
      </c>
      <c r="E13" s="44">
        <v>0.71088721643715602</v>
      </c>
      <c r="F13" s="44">
        <v>0.77899339037197923</v>
      </c>
      <c r="G13" s="44">
        <v>0.90652619242948074</v>
      </c>
      <c r="H13" s="44">
        <v>0.78553869341741889</v>
      </c>
      <c r="I13" s="54"/>
      <c r="J13" s="30">
        <v>2017</v>
      </c>
      <c r="K13" s="44">
        <f>B13*'Inflation adjustment'!$F$20/'Inflation adjustment'!$F12</f>
        <v>1.432930046507833</v>
      </c>
      <c r="L13" s="44">
        <f>C13*'Inflation adjustment'!$F$20/'Inflation adjustment'!$F12</f>
        <v>2.9314169564410673</v>
      </c>
      <c r="M13" s="44">
        <f>D13*'Inflation adjustment'!$F$20/'Inflation adjustment'!$F12</f>
        <v>1.9727935968721348</v>
      </c>
      <c r="N13" s="44">
        <f>E13*'Inflation adjustment'!$F$20/'Inflation adjustment'!$F12</f>
        <v>0.93368620725125373</v>
      </c>
      <c r="O13" s="44">
        <f>F13*'Inflation adjustment'!$F$20/'Inflation adjustment'!$F12</f>
        <v>1.0231375207103708</v>
      </c>
      <c r="P13" s="44">
        <f>G13*'Inflation adjustment'!$F$20/'Inflation adjustment'!$F12</f>
        <v>1.1906403474597107</v>
      </c>
      <c r="Q13" s="44">
        <f>H13*'Inflation adjustment'!$F$20/'Inflation adjustment'!$F12</f>
        <v>1.0317341856024971</v>
      </c>
    </row>
    <row r="14" spans="1:17" s="31" customFormat="1" ht="15.75" customHeight="1" x14ac:dyDescent="0.25">
      <c r="A14" s="30">
        <v>2018</v>
      </c>
      <c r="B14" s="44">
        <v>1.0821000000000001</v>
      </c>
      <c r="C14" s="44">
        <v>2.2126567586177224</v>
      </c>
      <c r="D14" s="44">
        <v>1.7799391767792021</v>
      </c>
      <c r="E14" s="44">
        <v>0.72950609805608413</v>
      </c>
      <c r="F14" s="44">
        <v>0.71312839933716066</v>
      </c>
      <c r="G14" s="44">
        <v>0.91927429872048483</v>
      </c>
      <c r="H14" s="44">
        <v>0.77828664422239047</v>
      </c>
      <c r="I14" s="54"/>
      <c r="J14" s="30">
        <v>2018</v>
      </c>
      <c r="K14" s="44">
        <f>B14*'Inflation adjustment'!$F$20/'Inflation adjustment'!$F13</f>
        <v>1.3873548738187307</v>
      </c>
      <c r="L14" s="44">
        <f>C14*'Inflation adjustment'!$F$20/'Inflation adjustment'!$F13</f>
        <v>2.8368359099494054</v>
      </c>
      <c r="M14" s="44">
        <f>D14*'Inflation adjustment'!$F$20/'Inflation adjustment'!$F13</f>
        <v>2.2820509121204373</v>
      </c>
      <c r="N14" s="44">
        <f>E14*'Inflation adjustment'!$F$20/'Inflation adjustment'!$F13</f>
        <v>0.93529603605821376</v>
      </c>
      <c r="O14" s="44">
        <f>F14*'Inflation adjustment'!$F$20/'Inflation adjustment'!$F13</f>
        <v>0.91429827232137495</v>
      </c>
      <c r="P14" s="44">
        <f>G14*'Inflation adjustment'!$F$20/'Inflation adjustment'!$F13</f>
        <v>1.1785968752482769</v>
      </c>
      <c r="Q14" s="44">
        <f>H14*'Inflation adjustment'!$F$20/'Inflation adjustment'!$F13</f>
        <v>0.99783732472965325</v>
      </c>
    </row>
    <row r="15" spans="1:17" ht="15.75" customHeight="1" x14ac:dyDescent="0.25">
      <c r="A15" s="30">
        <v>2019</v>
      </c>
      <c r="B15" s="44">
        <v>1.1780999999999999</v>
      </c>
      <c r="C15" s="44">
        <v>2.2899604365623123</v>
      </c>
      <c r="D15" s="44">
        <v>1.7161104415064774</v>
      </c>
      <c r="E15" s="44">
        <v>0.70642485087707008</v>
      </c>
      <c r="F15" s="44">
        <v>0.80857698652869225</v>
      </c>
      <c r="G15" s="44">
        <v>0.93475398442653235</v>
      </c>
      <c r="H15" s="44">
        <v>0.81487352461469453</v>
      </c>
      <c r="I15" s="44"/>
      <c r="J15" s="30">
        <v>2019</v>
      </c>
      <c r="K15" s="44">
        <f>B15*'Inflation adjustment'!$F$20/'Inflation adjustment'!$F14</f>
        <v>1.4835543259132351</v>
      </c>
      <c r="L15" s="44">
        <f>C15*'Inflation adjustment'!$F$20/'Inflation adjustment'!$F14</f>
        <v>2.8836946879145904</v>
      </c>
      <c r="M15" s="44">
        <f>D15*'Inflation adjustment'!$F$20/'Inflation adjustment'!$F14</f>
        <v>2.1610585427737941</v>
      </c>
      <c r="N15" s="44">
        <f>E15*'Inflation adjustment'!$F$20/'Inflation adjustment'!$F14</f>
        <v>0.8895846222318049</v>
      </c>
      <c r="O15" s="44">
        <f>F15*'Inflation adjustment'!$F$20/'Inflation adjustment'!$F14</f>
        <v>1.0182224651545106</v>
      </c>
      <c r="P15" s="44">
        <f>G15*'Inflation adjustment'!$F$20/'Inflation adjustment'!$F14</f>
        <v>1.1771142664125414</v>
      </c>
      <c r="Q15" s="44">
        <f>H15*'Inflation adjustment'!$F$20/'Inflation adjustment'!$F14</f>
        <v>1.0261515512386854</v>
      </c>
    </row>
    <row r="16" spans="1:17" ht="15.75" customHeight="1" x14ac:dyDescent="0.25">
      <c r="A16" s="30">
        <v>2020</v>
      </c>
      <c r="B16" s="44">
        <v>1.3571000000000002</v>
      </c>
      <c r="C16" s="44">
        <v>2.4165008428597603</v>
      </c>
      <c r="D16" s="44">
        <v>2.0507969862338684</v>
      </c>
      <c r="E16" s="44">
        <v>0.77935907707081964</v>
      </c>
      <c r="F16" s="44">
        <v>0.86489126047992393</v>
      </c>
      <c r="G16" s="44">
        <v>0.95311577394661173</v>
      </c>
      <c r="H16" s="44">
        <v>0.84890316777314145</v>
      </c>
      <c r="I16" s="44"/>
      <c r="J16" s="30">
        <v>2020</v>
      </c>
      <c r="K16" s="44">
        <f>B16*'Inflation adjustment'!$F$20/'Inflation adjustment'!$F15</f>
        <v>1.6881386235515496</v>
      </c>
      <c r="L16" s="44">
        <f>C16*'Inflation adjustment'!$F$20/'Inflation adjustment'!$F15</f>
        <v>3.0059600668163249</v>
      </c>
      <c r="M16" s="44">
        <f>D16*'Inflation adjustment'!$F$20/'Inflation adjustment'!$F15</f>
        <v>2.5510497395361491</v>
      </c>
      <c r="N16" s="44">
        <f>E16*'Inflation adjustment'!$F$20/'Inflation adjustment'!$F15</f>
        <v>0.96946883768236625</v>
      </c>
      <c r="O16" s="44">
        <f>F16*'Inflation adjustment'!$F$20/'Inflation adjustment'!$F15</f>
        <v>1.0758649635165745</v>
      </c>
      <c r="P16" s="44">
        <f>G16*'Inflation adjustment'!$F$20/'Inflation adjustment'!$F15</f>
        <v>1.1856101619007462</v>
      </c>
      <c r="Q16" s="44">
        <f>H16*'Inflation adjustment'!$F$20/'Inflation adjustment'!$F15</f>
        <v>1.055976880976421</v>
      </c>
    </row>
    <row r="17" spans="1:17" ht="15.75" customHeight="1" x14ac:dyDescent="0.25">
      <c r="A17" s="30">
        <v>2021</v>
      </c>
      <c r="B17" s="44">
        <v>1.4360999999999999</v>
      </c>
      <c r="C17" s="44">
        <v>2.8074689722532296</v>
      </c>
      <c r="D17" s="44">
        <v>2.2298148512177263</v>
      </c>
      <c r="E17" s="44">
        <v>0.89005622833403741</v>
      </c>
      <c r="F17" s="44">
        <v>0.92536202721915384</v>
      </c>
      <c r="G17" s="44">
        <v>0.9397854229971101</v>
      </c>
      <c r="H17" s="44">
        <v>0.93995853607990187</v>
      </c>
      <c r="I17" s="44"/>
      <c r="J17" s="30">
        <v>2021</v>
      </c>
      <c r="K17" s="44">
        <f>B17*'Inflation adjustment'!$F$20/'Inflation adjustment'!$F16</f>
        <v>1.7062491873639143</v>
      </c>
      <c r="L17" s="44">
        <f>C17*'Inflation adjustment'!$F$20/'Inflation adjustment'!$F16</f>
        <v>3.3355905942876385</v>
      </c>
      <c r="M17" s="44">
        <f>D17*'Inflation adjustment'!$F$20/'Inflation adjustment'!$F16</f>
        <v>2.6492721801143611</v>
      </c>
      <c r="N17" s="44">
        <f>E17*'Inflation adjustment'!$F$20/'Inflation adjustment'!$F16</f>
        <v>1.0574874425897516</v>
      </c>
      <c r="O17" s="44">
        <f>F17*'Inflation adjustment'!$F$20/'Inflation adjustment'!$F16</f>
        <v>1.0994347238772411</v>
      </c>
      <c r="P17" s="44">
        <f>G17*'Inflation adjustment'!$F$20/'Inflation adjustment'!$F16</f>
        <v>1.1165713489905105</v>
      </c>
      <c r="Q17" s="44">
        <f>H17*'Inflation adjustment'!$F$20/'Inflation adjustment'!$F16</f>
        <v>1.1167770269076718</v>
      </c>
    </row>
    <row r="18" spans="1:17" ht="15.75" customHeight="1" x14ac:dyDescent="0.25">
      <c r="A18" s="30">
        <v>2022</v>
      </c>
      <c r="B18" s="44">
        <v>1.5112000000000001</v>
      </c>
      <c r="C18" s="44">
        <v>2.8209331115792735</v>
      </c>
      <c r="D18" s="44">
        <v>2.7358573646885564</v>
      </c>
      <c r="E18" s="44">
        <v>1.1579052766166649</v>
      </c>
      <c r="F18" s="44">
        <v>0.9672234352093374</v>
      </c>
      <c r="G18" s="44">
        <v>0.95770424427613943</v>
      </c>
      <c r="H18" s="44">
        <v>0.93282149152793292</v>
      </c>
      <c r="I18" s="44"/>
      <c r="J18" s="30">
        <v>2022</v>
      </c>
      <c r="K18" s="44">
        <f>B18*'Inflation adjustment'!$F$20/'Inflation adjustment'!$F17</f>
        <v>1.6624361845859461</v>
      </c>
      <c r="L18" s="44">
        <f>C18*'Inflation adjustment'!$F$20/'Inflation adjustment'!$F17</f>
        <v>3.1032433026641133</v>
      </c>
      <c r="M18" s="44">
        <f>D18*'Inflation adjustment'!$F$20/'Inflation adjustment'!$F17</f>
        <v>3.0096534402621788</v>
      </c>
      <c r="N18" s="44">
        <f>E18*'Inflation adjustment'!$F$20/'Inflation adjustment'!$F17</f>
        <v>1.2737848267406979</v>
      </c>
      <c r="O18" s="44">
        <f>F18*'Inflation adjustment'!$F$20/'Inflation adjustment'!$F17</f>
        <v>1.064020141127265</v>
      </c>
      <c r="P18" s="44">
        <f>G18*'Inflation adjustment'!$F$20/'Inflation adjustment'!$F17</f>
        <v>1.0535482992431129</v>
      </c>
      <c r="Q18" s="44">
        <f>H18*'Inflation adjustment'!$F$20/'Inflation adjustment'!$F17</f>
        <v>1.0261753581759319</v>
      </c>
    </row>
    <row r="19" spans="1:17" ht="15.75" customHeight="1" x14ac:dyDescent="0.25">
      <c r="A19" s="30">
        <v>2023</v>
      </c>
      <c r="B19" s="44">
        <v>1.6532</v>
      </c>
      <c r="C19" s="44">
        <v>2.8564386599435143</v>
      </c>
      <c r="D19" s="44">
        <v>2.6974801889796787</v>
      </c>
      <c r="E19" s="44">
        <v>0.9756585964865524</v>
      </c>
      <c r="F19" s="44">
        <v>1.0132549352106852</v>
      </c>
      <c r="G19" s="44">
        <v>1.0189201576515354</v>
      </c>
      <c r="H19" s="44">
        <v>0.96092562007815407</v>
      </c>
      <c r="I19" s="44"/>
      <c r="J19" s="30">
        <v>2023</v>
      </c>
      <c r="K19" s="44">
        <f>B19*'Inflation adjustment'!$F$20/'Inflation adjustment'!$F18</f>
        <v>1.7467432691613443</v>
      </c>
      <c r="L19" s="44">
        <f>C19*'Inflation adjustment'!$F$20/'Inflation adjustment'!$F18</f>
        <v>3.018064966748478</v>
      </c>
      <c r="M19" s="44">
        <f>D19*'Inflation adjustment'!$F$20/'Inflation adjustment'!$F18</f>
        <v>2.8501121242416678</v>
      </c>
      <c r="N19" s="44">
        <f>E19*'Inflation adjustment'!$F$20/'Inflation adjustment'!$F18</f>
        <v>1.0308644364942472</v>
      </c>
      <c r="O19" s="44">
        <f>F19*'Inflation adjustment'!$F$20/'Inflation adjustment'!$F18</f>
        <v>1.0705880946187869</v>
      </c>
      <c r="P19" s="44">
        <f>G19*'Inflation adjustment'!$F$20/'Inflation adjustment'!$F18</f>
        <v>1.0765738732099175</v>
      </c>
      <c r="Q19" s="44">
        <f>H19*'Inflation adjustment'!$F$20/'Inflation adjustment'!$F18</f>
        <v>1.0152978218220463</v>
      </c>
    </row>
    <row r="20" spans="1:17" ht="15.75" customHeight="1" x14ac:dyDescent="0.25">
      <c r="A20" s="30">
        <v>2024</v>
      </c>
      <c r="B20" s="44">
        <v>1.7701000000000002</v>
      </c>
      <c r="C20" s="44">
        <v>2.9881027395457624</v>
      </c>
      <c r="D20" s="44">
        <v>2.3318292537682126</v>
      </c>
      <c r="E20" s="44">
        <v>1.1542308459743105</v>
      </c>
      <c r="F20" s="44">
        <v>1.129865773716026</v>
      </c>
      <c r="G20" s="44">
        <v>1.0485784976415469</v>
      </c>
      <c r="H20" s="44">
        <v>1.0229327883219042</v>
      </c>
      <c r="I20" s="44"/>
      <c r="J20" s="30">
        <v>2024</v>
      </c>
      <c r="K20" s="44">
        <f>B20*'Inflation adjustment'!$F$20/'Inflation adjustment'!$F19</f>
        <v>1.8166760845933392</v>
      </c>
      <c r="L20" s="44">
        <f>C20*'Inflation adjustment'!$F$20/'Inflation adjustment'!$F19</f>
        <v>3.0667277471558814</v>
      </c>
      <c r="M20" s="44">
        <f>D20*'Inflation adjustment'!$F$20/'Inflation adjustment'!$F19</f>
        <v>2.3931859435488638</v>
      </c>
      <c r="N20" s="44">
        <f>E20*'Inflation adjustment'!$F$20/'Inflation adjustment'!$F19</f>
        <v>1.1846017592121731</v>
      </c>
      <c r="O20" s="44">
        <f>F20*'Inflation adjustment'!$F$20/'Inflation adjustment'!$F19</f>
        <v>1.1595955764705124</v>
      </c>
      <c r="P20" s="44">
        <f>G20*'Inflation adjustment'!$F$20/'Inflation adjustment'!$F19</f>
        <v>1.0761694138660027</v>
      </c>
      <c r="Q20" s="44">
        <f>H20*'Inflation adjustment'!$F$20/'Inflation adjustment'!$F19</f>
        <v>1.0498488970627555</v>
      </c>
    </row>
    <row r="21" spans="1:17" ht="15.75" customHeight="1" x14ac:dyDescent="0.25">
      <c r="A21" s="30">
        <v>2025</v>
      </c>
      <c r="B21" s="44">
        <v>1.8521000000000003</v>
      </c>
      <c r="C21" s="44">
        <v>3.6809764681427497</v>
      </c>
      <c r="D21" s="44">
        <v>2.5718774164917848</v>
      </c>
      <c r="E21" s="44">
        <v>1.4572593684748945</v>
      </c>
      <c r="F21" s="44">
        <v>1.1491551379965572</v>
      </c>
      <c r="G21" s="44">
        <v>1.0349395855092411</v>
      </c>
      <c r="H21" s="44">
        <v>1.1246753427403224</v>
      </c>
      <c r="I21" s="44"/>
      <c r="J21" s="30">
        <v>2025</v>
      </c>
      <c r="K21" s="44">
        <f>B21*'Inflation adjustment'!$F$20/'Inflation adjustment'!$F20</f>
        <v>1.8521000000000005</v>
      </c>
      <c r="L21" s="44">
        <f>C21*'Inflation adjustment'!$F$20/'Inflation adjustment'!$F20</f>
        <v>3.6809764681427501</v>
      </c>
      <c r="M21" s="44">
        <f>D21*'Inflation adjustment'!$F$20/'Inflation adjustment'!$F20</f>
        <v>2.5718774164917848</v>
      </c>
      <c r="N21" s="44">
        <f>E21*'Inflation adjustment'!$F$20/'Inflation adjustment'!$F20</f>
        <v>1.4572593684748945</v>
      </c>
      <c r="O21" s="44">
        <f>F21*'Inflation adjustment'!$F$20/'Inflation adjustment'!$F20</f>
        <v>1.1491551379965572</v>
      </c>
      <c r="P21" s="44">
        <f>G21*'Inflation adjustment'!$F$20/'Inflation adjustment'!$F20</f>
        <v>1.0349395855092411</v>
      </c>
      <c r="Q21" s="44">
        <f>H21*'Inflation adjustment'!$F$20/'Inflation adjustment'!$F20</f>
        <v>1.1246753427403224</v>
      </c>
    </row>
    <row r="22" spans="1:17" x14ac:dyDescent="0.25">
      <c r="A22" s="30"/>
      <c r="B22" s="44"/>
      <c r="C22" s="44"/>
      <c r="D22" s="44"/>
      <c r="E22" s="44"/>
      <c r="F22" s="44"/>
      <c r="G22" s="44"/>
      <c r="H22" s="44"/>
      <c r="I22" s="44"/>
      <c r="J22" s="30"/>
      <c r="K22" s="44"/>
      <c r="L22" s="44"/>
      <c r="M22" s="44"/>
      <c r="N22" s="44"/>
      <c r="O22" s="44"/>
      <c r="P22" s="44"/>
      <c r="Q22" s="44"/>
    </row>
    <row r="23" spans="1:17" x14ac:dyDescent="0.25">
      <c r="A23" s="30" t="s">
        <v>549</v>
      </c>
      <c r="B23" s="44">
        <f>B21-B6</f>
        <v>1.3990000000000002</v>
      </c>
      <c r="C23" s="44">
        <f t="shared" ref="C23:H23" si="0">C21-C6</f>
        <v>2.4415547109332678</v>
      </c>
      <c r="D23" s="44">
        <f t="shared" si="0"/>
        <v>1.7649577810431616</v>
      </c>
      <c r="E23" s="44">
        <f t="shared" si="0"/>
        <v>0.84243232382828559</v>
      </c>
      <c r="F23" s="44">
        <f t="shared" si="0"/>
        <v>0.6613395138337923</v>
      </c>
      <c r="G23" s="44">
        <f t="shared" si="0"/>
        <v>0.59620207213224019</v>
      </c>
      <c r="H23" s="44">
        <f t="shared" si="0"/>
        <v>0.84313038928602402</v>
      </c>
      <c r="I23" s="76"/>
      <c r="J23" s="30" t="s">
        <v>549</v>
      </c>
      <c r="K23" s="44">
        <f t="shared" ref="K23:Q23" si="1">K21-K6</f>
        <v>1.1831325177935947</v>
      </c>
      <c r="L23" s="44">
        <f t="shared" si="1"/>
        <v>1.8510650748250148</v>
      </c>
      <c r="M23" s="44">
        <f t="shared" si="1"/>
        <v>1.380522314154605</v>
      </c>
      <c r="N23" s="44">
        <f t="shared" si="1"/>
        <v>0.54951427898108007</v>
      </c>
      <c r="O23" s="44">
        <f t="shared" si="1"/>
        <v>0.42893269289147873</v>
      </c>
      <c r="P23" s="44">
        <f t="shared" si="1"/>
        <v>0.38717721589257481</v>
      </c>
      <c r="Q23" s="44">
        <f t="shared" si="1"/>
        <v>0.70899576066077774</v>
      </c>
    </row>
    <row r="24" spans="1:17" s="31" customFormat="1" ht="14.25" customHeight="1" x14ac:dyDescent="0.25">
      <c r="A24" s="56" t="s">
        <v>335</v>
      </c>
      <c r="B24" s="88">
        <f>B21-B15</f>
        <v>0.67400000000000038</v>
      </c>
      <c r="C24" s="88">
        <f t="shared" ref="C24:H24" si="2">C21-C15</f>
        <v>1.3910160315804374</v>
      </c>
      <c r="D24" s="88">
        <f t="shared" si="2"/>
        <v>0.8557669749853074</v>
      </c>
      <c r="E24" s="88">
        <f t="shared" si="2"/>
        <v>0.75083451759782438</v>
      </c>
      <c r="F24" s="88">
        <f t="shared" si="2"/>
        <v>0.34057815146786496</v>
      </c>
      <c r="G24" s="88">
        <f t="shared" si="2"/>
        <v>0.1001856010827088</v>
      </c>
      <c r="H24" s="88">
        <f t="shared" si="2"/>
        <v>0.3098018181256279</v>
      </c>
      <c r="I24" s="54"/>
      <c r="J24" s="56" t="s">
        <v>335</v>
      </c>
      <c r="K24" s="88">
        <f>K21-K15</f>
        <v>0.36854567408676542</v>
      </c>
      <c r="L24" s="88">
        <f t="shared" ref="L24:Q24" si="3">L21-L15</f>
        <v>0.79728178022815976</v>
      </c>
      <c r="M24" s="88">
        <f t="shared" si="3"/>
        <v>0.41081887371799075</v>
      </c>
      <c r="N24" s="88">
        <f t="shared" si="3"/>
        <v>0.56767474624308956</v>
      </c>
      <c r="O24" s="88">
        <f t="shared" si="3"/>
        <v>0.13093267284204657</v>
      </c>
      <c r="P24" s="88">
        <f>P21-P15</f>
        <v>-0.14217468090330021</v>
      </c>
      <c r="Q24" s="88">
        <f t="shared" si="3"/>
        <v>9.8523791501637037E-2</v>
      </c>
    </row>
    <row r="25" spans="1:17" x14ac:dyDescent="0.25">
      <c r="A25" s="30" t="s">
        <v>558</v>
      </c>
      <c r="B25" s="44">
        <f>B21-B20</f>
        <v>8.2000000000000073E-2</v>
      </c>
      <c r="C25" s="44">
        <f t="shared" ref="C25:H25" si="4">C21-C20</f>
        <v>0.69287372859698726</v>
      </c>
      <c r="D25" s="44">
        <f t="shared" si="4"/>
        <v>0.24004816272357221</v>
      </c>
      <c r="E25" s="44">
        <f t="shared" si="4"/>
        <v>0.30302852250058399</v>
      </c>
      <c r="F25" s="44">
        <f t="shared" si="4"/>
        <v>1.9289364280531185E-2</v>
      </c>
      <c r="G25" s="44">
        <f t="shared" si="4"/>
        <v>-1.3638912132305725E-2</v>
      </c>
      <c r="H25" s="44">
        <f t="shared" si="4"/>
        <v>0.10174255441841829</v>
      </c>
      <c r="I25" s="76"/>
      <c r="J25" s="30" t="s">
        <v>558</v>
      </c>
      <c r="K25" s="44">
        <f>K21-K20</f>
        <v>3.5423915406661344E-2</v>
      </c>
      <c r="L25" s="44">
        <f t="shared" ref="L25:Q25" si="5">L21-L20</f>
        <v>0.61424872098686878</v>
      </c>
      <c r="M25" s="44">
        <f t="shared" si="5"/>
        <v>0.17869147294292098</v>
      </c>
      <c r="N25" s="44">
        <f t="shared" si="5"/>
        <v>0.27265760926272131</v>
      </c>
      <c r="O25" s="44">
        <f t="shared" si="5"/>
        <v>-1.0440438473955149E-2</v>
      </c>
      <c r="P25" s="44">
        <f t="shared" si="5"/>
        <v>-4.1229828356761589E-2</v>
      </c>
      <c r="Q25" s="44">
        <f t="shared" si="5"/>
        <v>7.4826445677566911E-2</v>
      </c>
    </row>
    <row r="26" spans="1:17" x14ac:dyDescent="0.25">
      <c r="A26" s="28"/>
      <c r="C26" s="44"/>
      <c r="E26"/>
      <c r="F26" s="76"/>
      <c r="G26" s="76"/>
      <c r="H26" s="76"/>
      <c r="I26" s="76"/>
    </row>
    <row r="27" spans="1:17" x14ac:dyDescent="0.25">
      <c r="B27"/>
      <c r="C27" s="28"/>
      <c r="D27" s="28"/>
      <c r="E27" s="28"/>
      <c r="F27" s="28"/>
      <c r="G27" s="28"/>
      <c r="H27" s="28"/>
      <c r="I27" s="28"/>
    </row>
    <row r="28" spans="1:17" x14ac:dyDescent="0.25">
      <c r="A28" s="114" t="s">
        <v>197</v>
      </c>
      <c r="B28" t="s">
        <v>559</v>
      </c>
      <c r="C28" s="28"/>
      <c r="D28" s="28"/>
      <c r="E28" s="28"/>
      <c r="F28" s="28"/>
      <c r="G28" s="28"/>
      <c r="H28" s="28"/>
      <c r="I28" s="28"/>
      <c r="K28" s="26"/>
      <c r="L28" s="26"/>
      <c r="M28" s="26"/>
      <c r="N28" s="26"/>
    </row>
    <row r="29" spans="1:17" x14ac:dyDescent="0.25">
      <c r="A29" s="114"/>
      <c r="B29"/>
      <c r="C29" s="28"/>
      <c r="D29" s="28"/>
      <c r="E29" s="28"/>
      <c r="F29" s="28"/>
      <c r="G29" s="28"/>
      <c r="H29" s="28"/>
      <c r="I29" s="28"/>
      <c r="K29" s="26"/>
      <c r="L29" s="26"/>
      <c r="M29" s="26"/>
      <c r="N29" s="26"/>
    </row>
    <row r="31" spans="1:17" x14ac:dyDescent="0.25">
      <c r="A31" s="114" t="s">
        <v>205</v>
      </c>
      <c r="B31" s="28" t="s">
        <v>560</v>
      </c>
    </row>
    <row r="32" spans="1:17" x14ac:dyDescent="0.25">
      <c r="B32" s="28" t="s">
        <v>561</v>
      </c>
    </row>
    <row r="33" spans="2:2" x14ac:dyDescent="0.25">
      <c r="B33" s="28" t="s">
        <v>562</v>
      </c>
    </row>
    <row r="34" spans="2:2" x14ac:dyDescent="0.25">
      <c r="B34" s="28" t="s">
        <v>563</v>
      </c>
    </row>
    <row r="35" spans="2:2" x14ac:dyDescent="0.25">
      <c r="B35" s="28" t="s">
        <v>564</v>
      </c>
    </row>
    <row r="36" spans="2:2" x14ac:dyDescent="0.25">
      <c r="B36" s="28" t="s">
        <v>565</v>
      </c>
    </row>
    <row r="37" spans="2:2" x14ac:dyDescent="0.25">
      <c r="B37" s="28" t="s">
        <v>566</v>
      </c>
    </row>
    <row r="38" spans="2:2" x14ac:dyDescent="0.25">
      <c r="B38" s="28" t="s">
        <v>567</v>
      </c>
    </row>
    <row r="39" spans="2:2" x14ac:dyDescent="0.25">
      <c r="B39" s="28" t="s">
        <v>488</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15E45-DDD6-4283-8C8A-D03725A192AB}">
  <sheetPr>
    <tabColor theme="9" tint="0.59999389629810485"/>
  </sheetPr>
  <dimension ref="A1:U39"/>
  <sheetViews>
    <sheetView workbookViewId="0">
      <selection activeCell="I24" sqref="I24"/>
    </sheetView>
  </sheetViews>
  <sheetFormatPr defaultRowHeight="15" x14ac:dyDescent="0.25"/>
  <cols>
    <col min="1" max="1" width="11.5703125" style="25" customWidth="1"/>
    <col min="2" max="3" width="13.42578125" style="25" customWidth="1"/>
    <col min="4" max="4" width="13.42578125" style="30" customWidth="1"/>
    <col min="5" max="10" width="13.42578125" style="25" customWidth="1"/>
    <col min="11" max="11" width="11.140625" style="25" customWidth="1"/>
    <col min="12" max="12" width="13" customWidth="1"/>
    <col min="13" max="19" width="12.5703125" customWidth="1"/>
    <col min="20" max="21" width="12.28515625" customWidth="1"/>
  </cols>
  <sheetData>
    <row r="1" spans="1:21" x14ac:dyDescent="0.25">
      <c r="A1" s="59" t="s">
        <v>83</v>
      </c>
      <c r="B1" s="92"/>
    </row>
    <row r="2" spans="1:21" x14ac:dyDescent="0.25">
      <c r="A2" s="28" t="s">
        <v>84</v>
      </c>
    </row>
    <row r="3" spans="1:21" x14ac:dyDescent="0.25">
      <c r="A3" s="28"/>
    </row>
    <row r="4" spans="1:21" x14ac:dyDescent="0.25">
      <c r="A4" s="59" t="s">
        <v>556</v>
      </c>
      <c r="L4" s="59" t="s">
        <v>557</v>
      </c>
      <c r="M4" s="25"/>
      <c r="N4" s="25"/>
      <c r="O4" s="30"/>
      <c r="P4" s="25"/>
      <c r="Q4" s="25"/>
    </row>
    <row r="5" spans="1:21" s="31" customFormat="1" ht="30" x14ac:dyDescent="0.25">
      <c r="A5" s="53" t="s">
        <v>158</v>
      </c>
      <c r="B5" s="27" t="s">
        <v>478</v>
      </c>
      <c r="C5" s="27" t="s">
        <v>480</v>
      </c>
      <c r="D5" s="27" t="s">
        <v>474</v>
      </c>
      <c r="E5" s="27" t="s">
        <v>479</v>
      </c>
      <c r="F5" s="27" t="s">
        <v>476</v>
      </c>
      <c r="G5" s="27" t="s">
        <v>475</v>
      </c>
      <c r="H5" s="27" t="s">
        <v>477</v>
      </c>
      <c r="I5" s="43" t="s">
        <v>528</v>
      </c>
      <c r="J5" s="43" t="s">
        <v>529</v>
      </c>
      <c r="K5" s="54"/>
      <c r="L5" s="53" t="s">
        <v>158</v>
      </c>
      <c r="M5" s="27" t="s">
        <v>478</v>
      </c>
      <c r="N5" s="27" t="s">
        <v>480</v>
      </c>
      <c r="O5" s="27" t="s">
        <v>474</v>
      </c>
      <c r="P5" s="27" t="s">
        <v>479</v>
      </c>
      <c r="Q5" s="27" t="s">
        <v>476</v>
      </c>
      <c r="R5" s="27" t="s">
        <v>475</v>
      </c>
      <c r="S5" s="27" t="s">
        <v>477</v>
      </c>
      <c r="T5" s="43" t="s">
        <v>528</v>
      </c>
      <c r="U5" s="43" t="s">
        <v>529</v>
      </c>
    </row>
    <row r="6" spans="1:21" s="31" customFormat="1" ht="15.75" customHeight="1" x14ac:dyDescent="0.25">
      <c r="A6" s="30">
        <v>2009</v>
      </c>
      <c r="B6" s="44">
        <v>1.1684829088612712</v>
      </c>
      <c r="C6" s="44">
        <v>2.085191030290432</v>
      </c>
      <c r="D6" s="44">
        <v>2.6627508263874242</v>
      </c>
      <c r="E6" s="44">
        <v>2.3788464514187821</v>
      </c>
      <c r="F6" s="44">
        <v>1.0613181429683898</v>
      </c>
      <c r="G6" s="44">
        <v>0.35491947643246008</v>
      </c>
      <c r="H6" s="44">
        <v>0.79017089004070407</v>
      </c>
      <c r="I6" s="44">
        <v>0.99735456196237315</v>
      </c>
      <c r="J6" s="44">
        <v>0.91939840023322239</v>
      </c>
      <c r="K6" s="54"/>
      <c r="L6" s="30">
        <v>2009</v>
      </c>
      <c r="M6" s="44">
        <f>B6*'Inflation adjustment'!$F$20/214.537</f>
        <v>1.7534732616169901</v>
      </c>
      <c r="N6" s="44">
        <f>C6*'Inflation adjustment'!$F$20/214.537</f>
        <v>3.1291229758260464</v>
      </c>
      <c r="O6" s="44">
        <f>D6*'Inflation adjustment'!$F$20/214.537</f>
        <v>3.9958328367584448</v>
      </c>
      <c r="P6" s="44">
        <f>E6*'Inflation adjustment'!$F$20/214.537</f>
        <v>3.5697943157083247</v>
      </c>
      <c r="Q6" s="44">
        <f>F6*'Inflation adjustment'!$F$20/214.537</f>
        <v>1.5926574292624223</v>
      </c>
      <c r="R6" s="44">
        <f>G6*'Inflation adjustment'!$F$20/214.537</f>
        <v>0.53260668789577315</v>
      </c>
      <c r="S6" s="44">
        <f>H6*'Inflation adjustment'!$F$20/214.537</f>
        <v>1.1857627675057185</v>
      </c>
      <c r="T6" s="44">
        <f>I6*'Inflation adjustment'!$F$20/214.537</f>
        <v>1.4966710625293178</v>
      </c>
      <c r="U6" s="44">
        <f>J6*'Inflation adjustment'!$F$20/214.537</f>
        <v>1.3796868566554219</v>
      </c>
    </row>
    <row r="7" spans="1:21" s="31" customFormat="1" ht="15.75" customHeight="1" x14ac:dyDescent="0.25">
      <c r="A7" s="30">
        <v>2010</v>
      </c>
      <c r="B7" s="44">
        <v>1.1047527830917949</v>
      </c>
      <c r="C7" s="44">
        <v>2.1456198432984404</v>
      </c>
      <c r="D7" s="44">
        <v>2.7200012520781209</v>
      </c>
      <c r="E7" s="44">
        <v>2.5886306170551059</v>
      </c>
      <c r="F7" s="44">
        <v>1.031368327382171</v>
      </c>
      <c r="G7" s="44">
        <v>0.34668433956762085</v>
      </c>
      <c r="H7" s="44">
        <v>0.83935861869138317</v>
      </c>
      <c r="I7" s="44">
        <v>1.08404500141388</v>
      </c>
      <c r="J7" s="44">
        <v>0.79693854473302372</v>
      </c>
      <c r="K7" s="54"/>
      <c r="L7" s="30">
        <v>2010</v>
      </c>
      <c r="M7" s="44">
        <f>B7*'Inflation adjustment'!$F$20/'Inflation adjustment'!$F5</f>
        <v>1.6310829568868626</v>
      </c>
      <c r="N7" s="44">
        <f>C7*'Inflation adjustment'!$F$20/'Inflation adjustment'!$F5</f>
        <v>3.1678435319873319</v>
      </c>
      <c r="O7" s="44">
        <f>D7*'Inflation adjustment'!$F$20/'Inflation adjustment'!$F5</f>
        <v>4.015873734718542</v>
      </c>
      <c r="P7" s="44">
        <f>E7*'Inflation adjustment'!$F$20/'Inflation adjustment'!$F5</f>
        <v>3.8219150435969289</v>
      </c>
      <c r="Q7" s="44">
        <f>F7*'Inflation adjustment'!$F$20/'Inflation adjustment'!$F5</f>
        <v>1.5227364228565059</v>
      </c>
      <c r="R7" s="44">
        <f>G7*'Inflation adjustment'!$F$20/'Inflation adjustment'!$F5</f>
        <v>0.5118529017014829</v>
      </c>
      <c r="S7" s="44">
        <f>H7*'Inflation adjustment'!$F$20/'Inflation adjustment'!$F5</f>
        <v>1.2392487791088527</v>
      </c>
      <c r="T7" s="44">
        <f>I7*'Inflation adjustment'!$F$20/'Inflation adjustment'!$F5</f>
        <v>1.6005095016426456</v>
      </c>
      <c r="U7" s="44">
        <f>J7*'Inflation adjustment'!$F$20/'Inflation adjustment'!$F5</f>
        <v>1.1766187855733565</v>
      </c>
    </row>
    <row r="8" spans="1:21" s="31" customFormat="1" ht="15.75" customHeight="1" x14ac:dyDescent="0.25">
      <c r="A8" s="30">
        <v>2011</v>
      </c>
      <c r="B8" s="44">
        <v>0.94624721866304939</v>
      </c>
      <c r="C8" s="44">
        <v>2.067685670672053</v>
      </c>
      <c r="D8" s="44">
        <v>2.2792294634738024</v>
      </c>
      <c r="E8" s="44">
        <v>2.6926558157071745</v>
      </c>
      <c r="F8" s="44">
        <v>1.0705040161815389</v>
      </c>
      <c r="G8" s="44">
        <v>0.36579218123168661</v>
      </c>
      <c r="H8" s="44">
        <v>0.85274022182399556</v>
      </c>
      <c r="I8" s="44">
        <v>1.1285814383981214</v>
      </c>
      <c r="J8" s="44">
        <v>0.74228996961328042</v>
      </c>
      <c r="K8" s="54"/>
      <c r="L8" s="30">
        <v>2011</v>
      </c>
      <c r="M8" s="44">
        <f>B8*'Inflation adjustment'!$F$20/'Inflation adjustment'!$F6</f>
        <v>1.3543123616537733</v>
      </c>
      <c r="N8" s="44">
        <f>C8*'Inflation adjustment'!$F$20/'Inflation adjustment'!$F6</f>
        <v>2.9593664410047738</v>
      </c>
      <c r="O8" s="44">
        <f>D8*'Inflation adjustment'!$F$20/'Inflation adjustment'!$F6</f>
        <v>3.2621376069029666</v>
      </c>
      <c r="P8" s="44">
        <f>E8*'Inflation adjustment'!$F$20/'Inflation adjustment'!$F6</f>
        <v>3.8538523389728541</v>
      </c>
      <c r="Q8" s="44">
        <f>F8*'Inflation adjustment'!$F$20/'Inflation adjustment'!$F6</f>
        <v>1.5321543817725392</v>
      </c>
      <c r="R8" s="44">
        <f>G8*'Inflation adjustment'!$F$20/'Inflation adjustment'!$F6</f>
        <v>0.52353852467679185</v>
      </c>
      <c r="S8" s="44">
        <f>H8*'Inflation adjustment'!$F$20/'Inflation adjustment'!$F6</f>
        <v>1.2204808647441423</v>
      </c>
      <c r="T8" s="44">
        <f>I8*'Inflation adjustment'!$F$20/'Inflation adjustment'!$F6</f>
        <v>1.6152774486514405</v>
      </c>
      <c r="U8" s="44">
        <f>J8*'Inflation adjustment'!$F$20/'Inflation adjustment'!$F6</f>
        <v>1.0623994046706366</v>
      </c>
    </row>
    <row r="9" spans="1:21" s="31" customFormat="1" ht="15.75" customHeight="1" x14ac:dyDescent="0.25">
      <c r="A9" s="30">
        <v>2012</v>
      </c>
      <c r="B9" s="44">
        <v>0.95696658908038434</v>
      </c>
      <c r="C9" s="44">
        <v>2.1699941161655474</v>
      </c>
      <c r="D9" s="44">
        <v>2.5817889603873563</v>
      </c>
      <c r="E9" s="44">
        <v>2.6001066183282231</v>
      </c>
      <c r="F9" s="44">
        <v>1.0935591030625444</v>
      </c>
      <c r="G9" s="44">
        <v>0.38206580535223428</v>
      </c>
      <c r="H9" s="44">
        <v>0.85468380102176311</v>
      </c>
      <c r="I9" s="44">
        <v>1.1635761397749023</v>
      </c>
      <c r="J9" s="44">
        <v>0.84594286397115559</v>
      </c>
      <c r="K9" s="54"/>
      <c r="L9" s="30">
        <v>2012</v>
      </c>
      <c r="M9" s="44">
        <f>B9*'Inflation adjustment'!$F$20/'Inflation adjustment'!$F7</f>
        <v>1.3418847817813453</v>
      </c>
      <c r="N9" s="44">
        <f>C9*'Inflation adjustment'!$F$20/'Inflation adjustment'!$F7</f>
        <v>3.0428252294950426</v>
      </c>
      <c r="O9" s="44">
        <f>D9*'Inflation adjustment'!$F$20/'Inflation adjustment'!$F7</f>
        <v>3.6202552474105882</v>
      </c>
      <c r="P9" s="44">
        <f>E9*'Inflation adjustment'!$F$20/'Inflation adjustment'!$F7</f>
        <v>3.6459407694645463</v>
      </c>
      <c r="Q9" s="44">
        <f>F9*'Inflation adjustment'!$F$20/'Inflation adjustment'!$F7</f>
        <v>1.5334185489048699</v>
      </c>
      <c r="R9" s="44">
        <f>G9*'Inflation adjustment'!$F$20/'Inflation adjustment'!$F7</f>
        <v>0.53574314473598772</v>
      </c>
      <c r="S9" s="44">
        <f>H9*'Inflation adjustment'!$F$20/'Inflation adjustment'!$F7</f>
        <v>1.1984610527816471</v>
      </c>
      <c r="T9" s="44">
        <f>I9*'Inflation adjustment'!$F$20/'Inflation adjustment'!$F7</f>
        <v>1.6315983569585937</v>
      </c>
      <c r="U9" s="44">
        <f>J9*'Inflation adjustment'!$F$20/'Inflation adjustment'!$F7</f>
        <v>1.186204271259117</v>
      </c>
    </row>
    <row r="10" spans="1:21" s="31" customFormat="1" ht="15.75" customHeight="1" x14ac:dyDescent="0.25">
      <c r="A10" s="30">
        <v>2013</v>
      </c>
      <c r="B10" s="44">
        <v>0.93531946329492366</v>
      </c>
      <c r="C10" s="44">
        <v>2.0409709814992247</v>
      </c>
      <c r="D10" s="44">
        <v>2.6556082309314109</v>
      </c>
      <c r="E10" s="44">
        <v>2.4137495858559945</v>
      </c>
      <c r="F10" s="44">
        <v>1.0631052751007393</v>
      </c>
      <c r="G10" s="44">
        <v>0.39327796631972195</v>
      </c>
      <c r="H10" s="44">
        <v>0.87218360694101893</v>
      </c>
      <c r="I10" s="44">
        <v>1.123773033859117</v>
      </c>
      <c r="J10" s="44">
        <v>0.8560811802371513</v>
      </c>
      <c r="K10" s="54"/>
      <c r="L10" s="30">
        <v>2013</v>
      </c>
      <c r="M10" s="44">
        <f>B10*'Inflation adjustment'!$F$20/'Inflation adjustment'!$F8</f>
        <v>1.2925971487079486</v>
      </c>
      <c r="N10" s="44">
        <f>C10*'Inflation adjustment'!$F$20/'Inflation adjustment'!$F8</f>
        <v>2.8205905840854957</v>
      </c>
      <c r="O10" s="44">
        <f>D10*'Inflation adjustment'!$F$20/'Inflation adjustment'!$F8</f>
        <v>3.6700098331054711</v>
      </c>
      <c r="P10" s="44">
        <f>E10*'Inflation adjustment'!$F$20/'Inflation adjustment'!$F8</f>
        <v>3.3357648961792798</v>
      </c>
      <c r="Q10" s="44">
        <f>F10*'Inflation adjustment'!$F$20/'Inflation adjustment'!$F8</f>
        <v>1.4691951801480843</v>
      </c>
      <c r="R10" s="44">
        <f>G10*'Inflation adjustment'!$F$20/'Inflation adjustment'!$F8</f>
        <v>0.54350411582768599</v>
      </c>
      <c r="S10" s="44">
        <f>H10*'Inflation adjustment'!$F$20/'Inflation adjustment'!$F8</f>
        <v>1.2053443638500343</v>
      </c>
      <c r="T10" s="44">
        <f>I10*'Inflation adjustment'!$F$20/'Inflation adjustment'!$F8</f>
        <v>1.5530370919942551</v>
      </c>
      <c r="U10" s="44">
        <f>J10*'Inflation adjustment'!$F$20/'Inflation adjustment'!$F8</f>
        <v>1.1830910571869024</v>
      </c>
    </row>
    <row r="11" spans="1:21" s="31" customFormat="1" ht="15.75" customHeight="1" x14ac:dyDescent="0.25">
      <c r="A11" s="30">
        <v>2014</v>
      </c>
      <c r="B11" s="44">
        <v>0.98948236690860703</v>
      </c>
      <c r="C11" s="44">
        <v>2.101058780700678</v>
      </c>
      <c r="D11" s="44">
        <v>2.1901071474570601</v>
      </c>
      <c r="E11" s="44">
        <v>2.3944944579048761</v>
      </c>
      <c r="F11" s="44">
        <v>1.0310219979189843</v>
      </c>
      <c r="G11" s="44">
        <v>0.38606299861500298</v>
      </c>
      <c r="H11" s="44">
        <v>0.93086659754930112</v>
      </c>
      <c r="I11" s="44">
        <v>1.084249718747553</v>
      </c>
      <c r="J11" s="44">
        <v>0.93415463137508747</v>
      </c>
      <c r="K11" s="54"/>
      <c r="L11" s="30">
        <v>2014</v>
      </c>
      <c r="M11" s="44">
        <f>B11*'Inflation adjustment'!$F$20/'Inflation adjustment'!$F9</f>
        <v>1.3456209518183027</v>
      </c>
      <c r="N11" s="44">
        <f>C11*'Inflation adjustment'!$F$20/'Inflation adjustment'!$F9</f>
        <v>2.8572805447212013</v>
      </c>
      <c r="O11" s="44">
        <f>D11*'Inflation adjustment'!$F$20/'Inflation adjustment'!$F9</f>
        <v>2.9783795678467504</v>
      </c>
      <c r="P11" s="44">
        <f>E11*'Inflation adjustment'!$F$20/'Inflation adjustment'!$F9</f>
        <v>3.2563308041923049</v>
      </c>
      <c r="Q11" s="44">
        <f>F11*'Inflation adjustment'!$F$20/'Inflation adjustment'!$F9</f>
        <v>1.4021116985842101</v>
      </c>
      <c r="R11" s="44">
        <f>G11*'Inflation adjustment'!$F$20/'Inflation adjustment'!$F9</f>
        <v>0.52501638940891926</v>
      </c>
      <c r="S11" s="44">
        <f>H11*'Inflation adjustment'!$F$20/'Inflation adjustment'!$F9</f>
        <v>1.265907952380773</v>
      </c>
      <c r="T11" s="44">
        <f>I11*'Inflation adjustment'!$F$20/'Inflation adjustment'!$F9</f>
        <v>1.4744973607847707</v>
      </c>
      <c r="U11" s="44">
        <f>J11*'Inflation adjustment'!$F$20/'Inflation adjustment'!$F9</f>
        <v>1.2703794289368315</v>
      </c>
    </row>
    <row r="12" spans="1:21" s="31" customFormat="1" ht="15.75" customHeight="1" x14ac:dyDescent="0.25">
      <c r="A12" s="30">
        <v>2015</v>
      </c>
      <c r="B12" s="44">
        <v>1.0317337553391202</v>
      </c>
      <c r="C12" s="44">
        <v>2.2354902833405554</v>
      </c>
      <c r="D12" s="44">
        <v>3.0166119211347744</v>
      </c>
      <c r="E12" s="44">
        <v>2.3105665519202088</v>
      </c>
      <c r="F12" s="44">
        <v>0.97846972206819904</v>
      </c>
      <c r="G12" s="44">
        <v>0.38276500820473219</v>
      </c>
      <c r="H12" s="44">
        <v>0.98222817067236778</v>
      </c>
      <c r="I12" s="44">
        <v>1.1481314456344638</v>
      </c>
      <c r="J12" s="44">
        <v>0.96584414609066516</v>
      </c>
      <c r="K12" s="54"/>
      <c r="L12" s="30">
        <v>2015</v>
      </c>
      <c r="M12" s="44">
        <f>B12*'Inflation adjustment'!$F$20/'Inflation adjustment'!$F10</f>
        <v>1.4014161870040645</v>
      </c>
      <c r="N12" s="44">
        <f>C12*'Inflation adjustment'!$F$20/'Inflation adjustment'!$F10</f>
        <v>3.0364929447656008</v>
      </c>
      <c r="O12" s="44">
        <f>D12*'Inflation adjustment'!$F$20/'Inflation adjustment'!$F10</f>
        <v>4.0974997224920262</v>
      </c>
      <c r="P12" s="44">
        <f>E12*'Inflation adjustment'!$F$20/'Inflation adjustment'!$F10</f>
        <v>3.138469930109856</v>
      </c>
      <c r="Q12" s="44">
        <f>F12*'Inflation adjustment'!$F$20/'Inflation adjustment'!$F10</f>
        <v>1.3290670193775223</v>
      </c>
      <c r="R12" s="44">
        <f>G12*'Inflation adjustment'!$F$20/'Inflation adjustment'!$F10</f>
        <v>0.51991424681122489</v>
      </c>
      <c r="S12" s="44">
        <f>H12*'Inflation adjustment'!$F$20/'Inflation adjustment'!$F10</f>
        <v>1.3341721646581219</v>
      </c>
      <c r="T12" s="44">
        <f>I12*'Inflation adjustment'!$F$20/'Inflation adjustment'!$F10</f>
        <v>1.5595205491669213</v>
      </c>
      <c r="U12" s="44">
        <f>J12*'Inflation adjustment'!$F$20/'Inflation adjustment'!$F10</f>
        <v>1.3119175499009228</v>
      </c>
    </row>
    <row r="13" spans="1:21" s="31" customFormat="1" ht="15.75" customHeight="1" x14ac:dyDescent="0.25">
      <c r="A13" s="30">
        <v>2016</v>
      </c>
      <c r="B13" s="44">
        <v>1.0376961476281559</v>
      </c>
      <c r="C13" s="44">
        <v>2.3554325613075755</v>
      </c>
      <c r="D13" s="44">
        <v>2.5218260506393095</v>
      </c>
      <c r="E13" s="44">
        <v>2.0833347053187872</v>
      </c>
      <c r="F13" s="44">
        <v>1.0579034798687081</v>
      </c>
      <c r="G13" s="44">
        <v>0.37044845330563864</v>
      </c>
      <c r="H13" s="44">
        <v>0.98402959138350532</v>
      </c>
      <c r="I13" s="44">
        <v>1.1859652222259089</v>
      </c>
      <c r="J13" s="44">
        <v>0.87000978800965634</v>
      </c>
      <c r="K13" s="54"/>
      <c r="L13" s="30">
        <v>2016</v>
      </c>
      <c r="M13" s="44">
        <f>B13*'Inflation adjustment'!$F$20/'Inflation adjustment'!$F11</f>
        <v>1.3919552798703845</v>
      </c>
      <c r="N13" s="44">
        <f>C13*'Inflation adjustment'!$F$20/'Inflation adjustment'!$F11</f>
        <v>3.159553784202314</v>
      </c>
      <c r="O13" s="44">
        <f>D13*'Inflation adjustment'!$F$20/'Inflation adjustment'!$F11</f>
        <v>3.3827523539770552</v>
      </c>
      <c r="P13" s="44">
        <f>E13*'Inflation adjustment'!$F$20/'Inflation adjustment'!$F11</f>
        <v>2.7945644295143319</v>
      </c>
      <c r="Q13" s="44">
        <f>F13*'Inflation adjustment'!$F$20/'Inflation adjustment'!$F11</f>
        <v>1.4190611941292191</v>
      </c>
      <c r="R13" s="44">
        <f>G13*'Inflation adjustment'!$F$20/'Inflation adjustment'!$F11</f>
        <v>0.49691586663129494</v>
      </c>
      <c r="S13" s="44">
        <f>H13*'Inflation adjustment'!$F$20/'Inflation adjustment'!$F11</f>
        <v>1.3199674956929583</v>
      </c>
      <c r="T13" s="44">
        <f>I13*'Inflation adjustment'!$F$20/'Inflation adjustment'!$F11</f>
        <v>1.5908419401895604</v>
      </c>
      <c r="U13" s="44">
        <f>J13*'Inflation adjustment'!$F$20/'Inflation adjustment'!$F11</f>
        <v>1.167022466766356</v>
      </c>
    </row>
    <row r="14" spans="1:21" s="31" customFormat="1" ht="15.75" customHeight="1" x14ac:dyDescent="0.25">
      <c r="A14" s="30">
        <v>2017</v>
      </c>
      <c r="B14" s="44">
        <v>0.99269229801464942</v>
      </c>
      <c r="C14" s="44">
        <v>2.3422959828380607</v>
      </c>
      <c r="D14" s="44">
        <v>2.5120686949037263</v>
      </c>
      <c r="E14" s="44">
        <v>2.0145541067876795</v>
      </c>
      <c r="F14" s="44">
        <v>1.0243344275846611</v>
      </c>
      <c r="G14" s="44">
        <v>0.37507580707159371</v>
      </c>
      <c r="H14" s="44">
        <v>0.99073153527536406</v>
      </c>
      <c r="I14" s="44">
        <v>1.1594711645154177</v>
      </c>
      <c r="J14" s="44">
        <v>0.64832852209002434</v>
      </c>
      <c r="K14" s="54"/>
      <c r="L14" s="30">
        <v>2017</v>
      </c>
      <c r="M14" s="44">
        <f>B14*'Inflation adjustment'!$F$20/'Inflation adjustment'!$F12</f>
        <v>1.3038117513859753</v>
      </c>
      <c r="N14" s="44">
        <f>C14*'Inflation adjustment'!$F$20/'Inflation adjustment'!$F12</f>
        <v>3.0763944011212212</v>
      </c>
      <c r="O14" s="44">
        <f>D14*'Inflation adjustment'!$F$20/'Inflation adjustment'!$F12</f>
        <v>3.2993755378728391</v>
      </c>
      <c r="P14" s="44">
        <f>E14*'Inflation adjustment'!$F$20/'Inflation adjustment'!$F12</f>
        <v>2.6459350228522593</v>
      </c>
      <c r="Q14" s="44">
        <f>F14*'Inflation adjustment'!$F$20/'Inflation adjustment'!$F12</f>
        <v>1.3453708331424956</v>
      </c>
      <c r="R14" s="44">
        <f>G14*'Inflation adjustment'!$F$20/'Inflation adjustment'!$F12</f>
        <v>0.49262822517970828</v>
      </c>
      <c r="S14" s="44">
        <f>H14*'Inflation adjustment'!$F$20/'Inflation adjustment'!$F12</f>
        <v>1.3012364664701228</v>
      </c>
      <c r="T14" s="44">
        <f>I14*'Inflation adjustment'!$F$20/'Inflation adjustment'!$F12</f>
        <v>1.522860742157258</v>
      </c>
      <c r="U14" s="44">
        <f>J14*'Inflation adjustment'!$F$20/'Inflation adjustment'!$F12</f>
        <v>0.85152100761761063</v>
      </c>
    </row>
    <row r="15" spans="1:21" s="31" customFormat="1" ht="15.75" customHeight="1" x14ac:dyDescent="0.25">
      <c r="A15" s="30">
        <v>2018</v>
      </c>
      <c r="B15" s="44">
        <v>0.89104506685126728</v>
      </c>
      <c r="C15" s="44">
        <v>2.5119727350224976</v>
      </c>
      <c r="D15" s="44">
        <v>10.244326189533478</v>
      </c>
      <c r="E15" s="44">
        <v>2.1472500177295917</v>
      </c>
      <c r="F15" s="44">
        <v>1.1387545314720269</v>
      </c>
      <c r="G15" s="44">
        <v>0.39993995990420406</v>
      </c>
      <c r="H15" s="44">
        <v>0.9911967316533552</v>
      </c>
      <c r="I15" s="44">
        <v>1.2326055508595228</v>
      </c>
      <c r="J15" s="44">
        <v>1.05015420116702</v>
      </c>
      <c r="K15" s="54"/>
      <c r="L15" s="30">
        <v>2018</v>
      </c>
      <c r="M15" s="44">
        <f>B15*'Inflation adjustment'!$F$20/'Inflation adjustment'!$F13</f>
        <v>1.1424043214936164</v>
      </c>
      <c r="N15" s="44">
        <f>C15*'Inflation adjustment'!$F$20/'Inflation adjustment'!$F13</f>
        <v>3.2205873919538202</v>
      </c>
      <c r="O15" s="44">
        <f>D15*'Inflation adjustment'!$F$20/'Inflation adjustment'!$F13</f>
        <v>13.134198196135417</v>
      </c>
      <c r="P15" s="44">
        <f>E15*'Inflation adjustment'!$F$20/'Inflation adjustment'!$F13</f>
        <v>2.7529782620871499</v>
      </c>
      <c r="Q15" s="44">
        <f>F15*'Inflation adjustment'!$F$20/'Inflation adjustment'!$F13</f>
        <v>1.4599913587661784</v>
      </c>
      <c r="R15" s="44">
        <f>G15*'Inflation adjustment'!$F$20/'Inflation adjustment'!$F13</f>
        <v>0.51276097644207119</v>
      </c>
      <c r="S15" s="44">
        <f>H15*'Inflation adjustment'!$F$20/'Inflation adjustment'!$F13</f>
        <v>1.2708082585458633</v>
      </c>
      <c r="T15" s="44">
        <f>I15*'Inflation adjustment'!$F$20/'Inflation adjustment'!$F13</f>
        <v>1.5803172705673969</v>
      </c>
      <c r="U15" s="44">
        <f>J15*'Inflation adjustment'!$F$20/'Inflation adjustment'!$F13</f>
        <v>1.3463973285743285</v>
      </c>
    </row>
    <row r="16" spans="1:21" ht="15.75" customHeight="1" x14ac:dyDescent="0.25">
      <c r="A16" s="30">
        <v>2019</v>
      </c>
      <c r="B16" s="44">
        <v>0.8192282019557271</v>
      </c>
      <c r="C16" s="44">
        <v>2.5017002448602943</v>
      </c>
      <c r="D16" s="44">
        <v>8.5414499103479056</v>
      </c>
      <c r="E16" s="44">
        <v>2.1925016625689979</v>
      </c>
      <c r="F16" s="44">
        <v>1.0735458560153059</v>
      </c>
      <c r="G16" s="44">
        <v>0.39447221842134511</v>
      </c>
      <c r="H16" s="44">
        <v>0.9360660413205466</v>
      </c>
      <c r="I16" s="44">
        <v>1.1787968166154879</v>
      </c>
      <c r="J16" s="44">
        <v>1.0604834990871865</v>
      </c>
      <c r="K16" s="44"/>
      <c r="L16" s="30">
        <v>2019</v>
      </c>
      <c r="M16" s="44">
        <f>B16*'Inflation adjustment'!$F$20/'Inflation adjustment'!$F14</f>
        <v>1.0316352965975217</v>
      </c>
      <c r="N16" s="44">
        <f>C16*'Inflation adjustment'!$F$20/'Inflation adjustment'!$F14</f>
        <v>3.150333775062125</v>
      </c>
      <c r="O16" s="44">
        <f>D16*'Inflation adjustment'!$F$20/'Inflation adjustment'!$F14</f>
        <v>10.756052087316739</v>
      </c>
      <c r="P16" s="44">
        <f>E16*'Inflation adjustment'!$F$20/'Inflation adjustment'!$F14</f>
        <v>2.7609670877482362</v>
      </c>
      <c r="Q16" s="44">
        <f>F16*'Inflation adjustment'!$F$20/'Inflation adjustment'!$F14</f>
        <v>1.3518916889548718</v>
      </c>
      <c r="R16" s="44">
        <f>G16*'Inflation adjustment'!$F$20/'Inflation adjustment'!$F14</f>
        <v>0.49674982267343781</v>
      </c>
      <c r="S16" s="44">
        <f>H16*'Inflation adjustment'!$F$20/'Inflation adjustment'!$F14</f>
        <v>1.1787665095845632</v>
      </c>
      <c r="T16" s="44">
        <f>I16*'Inflation adjustment'!$F$20/'Inflation adjustment'!$F14</f>
        <v>1.4844318111048789</v>
      </c>
      <c r="U16" s="44">
        <f>J16*'Inflation adjustment'!$F$20/'Inflation adjustment'!$F14</f>
        <v>1.3354425622870723</v>
      </c>
    </row>
    <row r="17" spans="1:21" ht="15.75" customHeight="1" x14ac:dyDescent="0.25">
      <c r="A17" s="30">
        <v>2020</v>
      </c>
      <c r="B17" s="44">
        <v>0.967376276384044</v>
      </c>
      <c r="C17" s="44">
        <v>2.65948487266167</v>
      </c>
      <c r="D17" s="44">
        <v>3.0189938963582788</v>
      </c>
      <c r="E17" s="44">
        <v>2.2300471881251576</v>
      </c>
      <c r="F17" s="44">
        <v>1.0845062862180923</v>
      </c>
      <c r="G17" s="44">
        <v>0.38727058542822212</v>
      </c>
      <c r="H17" s="44">
        <v>0.83731898515899894</v>
      </c>
      <c r="I17" s="44">
        <v>1.2626806196235958</v>
      </c>
      <c r="J17" s="44">
        <v>1.0106177562002652</v>
      </c>
      <c r="K17" s="44"/>
      <c r="L17" s="30">
        <v>2020</v>
      </c>
      <c r="M17" s="44">
        <f>B17*'Inflation adjustment'!$F$20/'Inflation adjustment'!$F15</f>
        <v>1.2033492415233831</v>
      </c>
      <c r="N17" s="44">
        <f>C17*'Inflation adjustment'!$F$20/'Inflation adjustment'!$F15</f>
        <v>3.3082154095433194</v>
      </c>
      <c r="O17" s="44">
        <f>D17*'Inflation adjustment'!$F$20/'Inflation adjustment'!$F15</f>
        <v>3.7554197927262498</v>
      </c>
      <c r="P17" s="44">
        <f>E17*'Inflation adjustment'!$F$20/'Inflation adjustment'!$F15</f>
        <v>2.7740246043892172</v>
      </c>
      <c r="Q17" s="44">
        <f>F17*'Inflation adjustment'!$F$20/'Inflation adjustment'!$F15</f>
        <v>1.3490508800008938</v>
      </c>
      <c r="R17" s="44">
        <f>G17*'Inflation adjustment'!$F$20/'Inflation adjustment'!$F15</f>
        <v>0.4817378476359897</v>
      </c>
      <c r="S17" s="44">
        <f>H17*'Inflation adjustment'!$F$20/'Inflation adjustment'!$F15</f>
        <v>1.0415669582786033</v>
      </c>
      <c r="T17" s="44">
        <f>I17*'Inflation adjustment'!$F$20/'Inflation adjustment'!$F15</f>
        <v>1.5706874388008212</v>
      </c>
      <c r="U17" s="44">
        <f>J17*'Inflation adjustment'!$F$20/'Inflation adjustment'!$F15</f>
        <v>1.2571386544017911</v>
      </c>
    </row>
    <row r="18" spans="1:21" ht="15.75" customHeight="1" x14ac:dyDescent="0.25">
      <c r="A18" s="30">
        <v>2021</v>
      </c>
      <c r="B18" s="44">
        <v>0.92067688769998679</v>
      </c>
      <c r="C18" s="44">
        <v>2.7703432375895387</v>
      </c>
      <c r="D18" s="44">
        <v>3.744435602561405</v>
      </c>
      <c r="E18" s="44">
        <v>2.209758343398045</v>
      </c>
      <c r="F18" s="44">
        <v>1.149059588103345</v>
      </c>
      <c r="G18" s="44">
        <v>0.38247185309446591</v>
      </c>
      <c r="H18" s="44">
        <v>0.29494455315801149</v>
      </c>
      <c r="I18" s="44">
        <v>1.240165206699269</v>
      </c>
      <c r="J18" s="44">
        <v>0.87720824994462343</v>
      </c>
      <c r="K18" s="44"/>
      <c r="L18" s="30">
        <v>2021</v>
      </c>
      <c r="M18" s="44">
        <f>B18*'Inflation adjustment'!$F$20/'Inflation adjustment'!$F16</f>
        <v>1.0938682483551565</v>
      </c>
      <c r="N18" s="44">
        <f>C18*'Inflation adjustment'!$F$20/'Inflation adjustment'!$F16</f>
        <v>3.2914810235055127</v>
      </c>
      <c r="O18" s="44">
        <f>D18*'Inflation adjustment'!$F$20/'Inflation adjustment'!$F16</f>
        <v>4.4488128988280113</v>
      </c>
      <c r="P18" s="44">
        <f>E18*'Inflation adjustment'!$F$20/'Inflation adjustment'!$F16</f>
        <v>2.6254427809299798</v>
      </c>
      <c r="Q18" s="44">
        <f>F18*'Inflation adjustment'!$F$20/'Inflation adjustment'!$F16</f>
        <v>1.3652127208648748</v>
      </c>
      <c r="R18" s="44">
        <f>G18*'Inflation adjustment'!$F$20/'Inflation adjustment'!$F16</f>
        <v>0.45441980957593686</v>
      </c>
      <c r="S18" s="44">
        <f>H18*'Inflation adjustment'!$F$20/'Inflation adjustment'!$F16</f>
        <v>0.35042748008026603</v>
      </c>
      <c r="T18" s="44">
        <f>I18*'Inflation adjustment'!$F$20/'Inflation adjustment'!$F16</f>
        <v>1.4734564975472662</v>
      </c>
      <c r="U18" s="44">
        <f>J18*'Inflation adjustment'!$F$20/'Inflation adjustment'!$F16</f>
        <v>1.0422225914747827</v>
      </c>
    </row>
    <row r="19" spans="1:21" ht="15.75" customHeight="1" x14ac:dyDescent="0.25">
      <c r="A19" s="30">
        <v>2022</v>
      </c>
      <c r="B19" s="44">
        <v>0.93177452473323497</v>
      </c>
      <c r="C19" s="44">
        <v>3.1986320958075458</v>
      </c>
      <c r="D19" s="44">
        <v>4.7127214338007413</v>
      </c>
      <c r="E19" s="44">
        <v>2.3458809765670083</v>
      </c>
      <c r="F19" s="44">
        <v>1.2685248963316786</v>
      </c>
      <c r="G19" s="44">
        <v>0.3607407633978002</v>
      </c>
      <c r="H19" s="44">
        <v>1.0472992110477819</v>
      </c>
      <c r="I19" s="44">
        <v>1.32175676746574</v>
      </c>
      <c r="J19" s="44">
        <v>0.81781778728753485</v>
      </c>
      <c r="K19" s="44"/>
      <c r="L19" s="30">
        <v>2022</v>
      </c>
      <c r="M19" s="44">
        <f>B19*'Inflation adjustment'!$F$20/'Inflation adjustment'!$F17</f>
        <v>1.0250236142085112</v>
      </c>
      <c r="N19" s="44">
        <f>C19*'Inflation adjustment'!$F$20/'Inflation adjustment'!$F17</f>
        <v>3.5187412236953706</v>
      </c>
      <c r="O19" s="44">
        <f>D19*'Inflation adjustment'!$F$20/'Inflation adjustment'!$F17</f>
        <v>5.1843559022128858</v>
      </c>
      <c r="P19" s="44">
        <f>E19*'Inflation adjustment'!$F$20/'Inflation adjustment'!$F17</f>
        <v>2.5806494310328283</v>
      </c>
      <c r="Q19" s="44">
        <f>F19*'Inflation adjustment'!$F$20/'Inflation adjustment'!$F17</f>
        <v>1.3954749131219684</v>
      </c>
      <c r="R19" s="44">
        <f>G19*'Inflation adjustment'!$F$20/'Inflation adjustment'!$F17</f>
        <v>0.39684257433010883</v>
      </c>
      <c r="S19" s="44">
        <f>H19*'Inflation adjustment'!$F$20/'Inflation adjustment'!$F17</f>
        <v>1.1521096509622459</v>
      </c>
      <c r="T19" s="44">
        <f>I19*'Inflation adjustment'!$F$20/'Inflation adjustment'!$F17</f>
        <v>1.4540340639600304</v>
      </c>
      <c r="U19" s="44">
        <f>J19*'Inflation adjustment'!$F$20/'Inflation adjustment'!$F17</f>
        <v>0.89966244175807975</v>
      </c>
    </row>
    <row r="20" spans="1:21" ht="15.75" customHeight="1" x14ac:dyDescent="0.25">
      <c r="A20" s="30">
        <v>2023</v>
      </c>
      <c r="B20" s="44">
        <v>1.0646216257034777</v>
      </c>
      <c r="C20" s="44">
        <v>2.5019737613271502</v>
      </c>
      <c r="D20" s="44">
        <v>6.1127395253771848</v>
      </c>
      <c r="E20" s="44">
        <v>2.1514423487966163</v>
      </c>
      <c r="F20" s="44">
        <v>1.1525090704407068</v>
      </c>
      <c r="G20" s="44">
        <v>0.40452708395600684</v>
      </c>
      <c r="H20" s="44">
        <v>0.96535091491326896</v>
      </c>
      <c r="I20" s="44">
        <v>2.0702488366377283</v>
      </c>
      <c r="J20" s="44">
        <v>1.5171306149364929</v>
      </c>
      <c r="K20" s="44"/>
      <c r="L20" s="30">
        <v>2023</v>
      </c>
      <c r="M20" s="44">
        <f>B20*'Inflation adjustment'!$F$20/'Inflation adjustment'!$F18</f>
        <v>1.124861274438155</v>
      </c>
      <c r="N20" s="44">
        <f>C20*'Inflation adjustment'!$F$20/'Inflation adjustment'!$F18</f>
        <v>2.6435433264072659</v>
      </c>
      <c r="O20" s="44">
        <f>D20*'Inflation adjustment'!$F$20/'Inflation adjustment'!$F18</f>
        <v>6.4586176034896621</v>
      </c>
      <c r="P20" s="44">
        <f>E20*'Inflation adjustment'!$F$20/'Inflation adjustment'!$F18</f>
        <v>2.2731777411983809</v>
      </c>
      <c r="Q20" s="44">
        <f>F20*'Inflation adjustment'!$F$20/'Inflation adjustment'!$F18</f>
        <v>1.217721667940783</v>
      </c>
      <c r="R20" s="44">
        <f>G20*'Inflation adjustment'!$F$20/'Inflation adjustment'!$F18</f>
        <v>0.4274165019922701</v>
      </c>
      <c r="S20" s="44">
        <f>H20*'Inflation adjustment'!$F$20/'Inflation adjustment'!$F18</f>
        <v>1.0199735137935508</v>
      </c>
      <c r="T20" s="44">
        <f>I20*'Inflation adjustment'!$F$20/'Inflation adjustment'!$F18</f>
        <v>2.1873900440878633</v>
      </c>
      <c r="U20" s="44">
        <f>J20*'Inflation adjustment'!$F$20/'Inflation adjustment'!$F18</f>
        <v>1.6029746492129993</v>
      </c>
    </row>
    <row r="21" spans="1:21" ht="15.75" customHeight="1" x14ac:dyDescent="0.25">
      <c r="A21" s="30">
        <v>2024</v>
      </c>
      <c r="B21" s="44">
        <v>1.0123943199938363</v>
      </c>
      <c r="C21" s="44">
        <v>3.3388432443109455</v>
      </c>
      <c r="D21" s="44">
        <v>5.2894395656550763</v>
      </c>
      <c r="E21" s="44">
        <v>2.5918229719470878</v>
      </c>
      <c r="F21" s="44">
        <v>1.3138564168936151</v>
      </c>
      <c r="G21" s="44">
        <v>0.40863840793039508</v>
      </c>
      <c r="H21" s="44">
        <v>0.7834511781865483</v>
      </c>
      <c r="I21" s="44">
        <v>1.6022851803636582</v>
      </c>
      <c r="J21" s="44">
        <v>1.1230725022174126</v>
      </c>
      <c r="K21" s="44"/>
      <c r="L21" s="30">
        <v>2024</v>
      </c>
      <c r="M21" s="44">
        <f>B21*'Inflation adjustment'!$F$20/'Inflation adjustment'!$F19</f>
        <v>1.0390331333319804</v>
      </c>
      <c r="N21" s="44">
        <f>C21*'Inflation adjustment'!$F$20/'Inflation adjustment'!$F19</f>
        <v>3.4266971765130383</v>
      </c>
      <c r="O21" s="44">
        <f>D21*'Inflation adjustment'!$F$20/'Inflation adjustment'!$F19</f>
        <v>5.4286189253869024</v>
      </c>
      <c r="P21" s="44">
        <f>E21*'Inflation adjustment'!$F$20/'Inflation adjustment'!$F19</f>
        <v>2.6600207946646557</v>
      </c>
      <c r="Q21" s="44">
        <f>F21*'Inflation adjustment'!$F$20/'Inflation adjustment'!$F19</f>
        <v>1.3484275075759147</v>
      </c>
      <c r="R21" s="44">
        <f>G21*'Inflation adjustment'!$F$20/'Inflation adjustment'!$F19</f>
        <v>0.41939078183913098</v>
      </c>
      <c r="S21" s="44">
        <f>H21*'Inflation adjustment'!$F$20/'Inflation adjustment'!$F19</f>
        <v>0.80406588263825596</v>
      </c>
      <c r="T21" s="44">
        <f>I21*'Inflation adjustment'!$F$20/'Inflation adjustment'!$F19</f>
        <v>1.6444456063866351</v>
      </c>
      <c r="U21" s="44">
        <f>J21*'Inflation adjustment'!$F$20/'Inflation adjustment'!$F19</f>
        <v>1.1526235557554789</v>
      </c>
    </row>
    <row r="22" spans="1:21" ht="15.75" customHeight="1" x14ac:dyDescent="0.25">
      <c r="A22" s="30">
        <v>2025</v>
      </c>
      <c r="B22" s="44" t="s">
        <v>530</v>
      </c>
      <c r="C22" s="44" t="s">
        <v>530</v>
      </c>
      <c r="D22" s="44" t="s">
        <v>530</v>
      </c>
      <c r="E22" s="44" t="s">
        <v>530</v>
      </c>
      <c r="F22" s="44" t="s">
        <v>530</v>
      </c>
      <c r="G22" s="44" t="s">
        <v>530</v>
      </c>
      <c r="H22" s="44" t="s">
        <v>530</v>
      </c>
      <c r="I22" s="44" t="s">
        <v>530</v>
      </c>
      <c r="J22" s="44" t="s">
        <v>530</v>
      </c>
      <c r="K22" s="44"/>
      <c r="L22" s="30">
        <v>2025</v>
      </c>
      <c r="M22" s="44" t="s">
        <v>530</v>
      </c>
      <c r="N22" s="44" t="s">
        <v>530</v>
      </c>
      <c r="O22" s="44" t="s">
        <v>530</v>
      </c>
      <c r="P22" s="44" t="s">
        <v>530</v>
      </c>
      <c r="Q22" s="44" t="s">
        <v>530</v>
      </c>
      <c r="R22" s="44" t="s">
        <v>530</v>
      </c>
      <c r="S22" s="44" t="s">
        <v>530</v>
      </c>
      <c r="T22" s="44" t="s">
        <v>530</v>
      </c>
      <c r="U22" s="44" t="s">
        <v>530</v>
      </c>
    </row>
    <row r="23" spans="1:21" x14ac:dyDescent="0.25">
      <c r="A23" s="30"/>
      <c r="B23" s="44"/>
      <c r="C23" s="44"/>
      <c r="D23" s="44"/>
      <c r="E23" s="44"/>
      <c r="F23" s="44"/>
      <c r="G23" s="44"/>
      <c r="H23" s="44"/>
      <c r="I23" s="44"/>
      <c r="J23" s="44"/>
      <c r="K23" s="44"/>
      <c r="L23" s="30"/>
      <c r="M23" s="44"/>
      <c r="N23" s="44"/>
      <c r="O23" s="44"/>
      <c r="P23" s="44"/>
      <c r="Q23" s="44"/>
      <c r="R23" s="44"/>
      <c r="S23" s="44"/>
    </row>
    <row r="24" spans="1:21" x14ac:dyDescent="0.25">
      <c r="A24" s="30"/>
      <c r="B24" s="44"/>
      <c r="C24" s="44"/>
      <c r="D24" s="44"/>
      <c r="E24" s="44"/>
      <c r="F24" s="44"/>
      <c r="G24" s="44"/>
      <c r="H24" s="44"/>
      <c r="I24" s="44"/>
      <c r="J24" s="44"/>
      <c r="K24" s="76"/>
      <c r="L24" s="30"/>
      <c r="M24" s="44"/>
      <c r="N24" s="44"/>
      <c r="O24" s="44"/>
      <c r="P24" s="44"/>
      <c r="Q24" s="44"/>
      <c r="R24" s="44"/>
      <c r="S24" s="44"/>
      <c r="T24" s="44"/>
      <c r="U24" s="44"/>
    </row>
    <row r="25" spans="1:21" x14ac:dyDescent="0.25">
      <c r="B25"/>
      <c r="C25" s="28"/>
      <c r="D25" s="28"/>
      <c r="E25" s="28"/>
      <c r="F25" s="28"/>
      <c r="G25" s="28"/>
      <c r="H25" s="28"/>
      <c r="I25" s="28"/>
      <c r="J25" s="28"/>
      <c r="K25" s="28"/>
      <c r="O25" s="26"/>
    </row>
    <row r="26" spans="1:21" x14ac:dyDescent="0.25">
      <c r="A26" s="114" t="s">
        <v>197</v>
      </c>
      <c r="B26" t="s">
        <v>550</v>
      </c>
      <c r="C26" s="28"/>
      <c r="D26" s="28"/>
      <c r="E26" s="28"/>
      <c r="F26" s="28"/>
      <c r="G26" s="28"/>
      <c r="H26" s="28"/>
      <c r="I26" s="28"/>
      <c r="J26" s="28"/>
      <c r="K26" s="28"/>
      <c r="M26" s="26"/>
      <c r="N26" s="26"/>
      <c r="O26" s="26"/>
      <c r="P26" s="26"/>
      <c r="Q26" s="26"/>
      <c r="R26" s="26"/>
      <c r="S26" s="26"/>
      <c r="T26" s="26"/>
      <c r="U26" s="26"/>
    </row>
    <row r="27" spans="1:21" x14ac:dyDescent="0.25">
      <c r="A27" s="114"/>
      <c r="B27"/>
      <c r="C27" s="28"/>
      <c r="D27" s="28"/>
      <c r="E27" s="28"/>
      <c r="F27" s="28"/>
      <c r="G27" s="28"/>
      <c r="H27" s="28"/>
      <c r="I27" s="28"/>
      <c r="J27" s="28"/>
      <c r="K27" s="28"/>
      <c r="M27" s="26"/>
      <c r="N27" s="26"/>
      <c r="O27" s="26"/>
      <c r="P27" s="26"/>
    </row>
    <row r="29" spans="1:21" x14ac:dyDescent="0.25">
      <c r="A29" s="114" t="s">
        <v>205</v>
      </c>
      <c r="B29" s="28" t="s">
        <v>568</v>
      </c>
    </row>
    <row r="30" spans="1:21" x14ac:dyDescent="0.25">
      <c r="B30" t="s">
        <v>569</v>
      </c>
    </row>
    <row r="31" spans="1:21" x14ac:dyDescent="0.25">
      <c r="B31" t="s">
        <v>570</v>
      </c>
    </row>
    <row r="32" spans="1:21" x14ac:dyDescent="0.25">
      <c r="B32" s="28" t="s">
        <v>488</v>
      </c>
    </row>
    <row r="33" spans="2:2" x14ac:dyDescent="0.25">
      <c r="B33" s="28"/>
    </row>
    <row r="34" spans="2:2" x14ac:dyDescent="0.25">
      <c r="B34" s="28"/>
    </row>
    <row r="35" spans="2:2" x14ac:dyDescent="0.25">
      <c r="B35" s="28"/>
    </row>
    <row r="36" spans="2:2" x14ac:dyDescent="0.25">
      <c r="B36" s="28"/>
    </row>
    <row r="37" spans="2:2" x14ac:dyDescent="0.25">
      <c r="B37"/>
    </row>
    <row r="38" spans="2:2" x14ac:dyDescent="0.25">
      <c r="B38"/>
    </row>
    <row r="39" spans="2:2" x14ac:dyDescent="0.25">
      <c r="B39" s="28"/>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0AA53-01AD-4482-8DCB-63AD8610796B}">
  <sheetPr>
    <tabColor theme="9" tint="0.59999389629810485"/>
  </sheetPr>
  <dimension ref="A1:T43"/>
  <sheetViews>
    <sheetView workbookViewId="0">
      <selection activeCell="B11" sqref="B11"/>
    </sheetView>
  </sheetViews>
  <sheetFormatPr defaultRowHeight="15" x14ac:dyDescent="0.25"/>
  <cols>
    <col min="1" max="1" width="23.140625" style="25" customWidth="1"/>
    <col min="2" max="3" width="11" style="25" customWidth="1"/>
    <col min="4" max="4" width="11" style="30" customWidth="1"/>
    <col min="5" max="8" width="11" style="25" customWidth="1"/>
    <col min="9" max="9" width="11.140625" style="25" customWidth="1"/>
    <col min="10" max="10" width="22.85546875" customWidth="1"/>
    <col min="11" max="17" width="10.5703125" customWidth="1"/>
  </cols>
  <sheetData>
    <row r="1" spans="1:19" x14ac:dyDescent="0.25">
      <c r="A1" s="59" t="s">
        <v>85</v>
      </c>
      <c r="B1" s="92"/>
      <c r="L1" s="202"/>
      <c r="M1" s="203"/>
    </row>
    <row r="2" spans="1:19" x14ac:dyDescent="0.25">
      <c r="A2" s="28" t="s">
        <v>86</v>
      </c>
    </row>
    <row r="3" spans="1:19" x14ac:dyDescent="0.25">
      <c r="A3" s="28"/>
    </row>
    <row r="4" spans="1:19" x14ac:dyDescent="0.25">
      <c r="A4" s="180" t="s">
        <v>571</v>
      </c>
      <c r="J4" s="180" t="s">
        <v>571</v>
      </c>
    </row>
    <row r="5" spans="1:19" x14ac:dyDescent="0.25">
      <c r="A5" s="59" t="s">
        <v>556</v>
      </c>
      <c r="J5" s="59" t="s">
        <v>557</v>
      </c>
      <c r="K5" s="25"/>
      <c r="L5" s="25"/>
      <c r="M5" s="30"/>
      <c r="N5" s="25"/>
      <c r="O5" s="25"/>
    </row>
    <row r="6" spans="1:19" s="31" customFormat="1" ht="18" customHeight="1" x14ac:dyDescent="0.25">
      <c r="A6" s="112" t="s">
        <v>572</v>
      </c>
      <c r="B6" s="27" t="s">
        <v>478</v>
      </c>
      <c r="C6" s="27" t="s">
        <v>480</v>
      </c>
      <c r="D6" s="27" t="s">
        <v>474</v>
      </c>
      <c r="E6" s="27" t="s">
        <v>479</v>
      </c>
      <c r="F6" s="27" t="s">
        <v>476</v>
      </c>
      <c r="G6" s="27" t="s">
        <v>475</v>
      </c>
      <c r="H6" s="27" t="s">
        <v>477</v>
      </c>
      <c r="I6" s="54"/>
      <c r="J6" s="112" t="s">
        <v>572</v>
      </c>
      <c r="K6" s="27" t="s">
        <v>478</v>
      </c>
      <c r="L6" s="27" t="s">
        <v>480</v>
      </c>
      <c r="M6" s="27" t="s">
        <v>474</v>
      </c>
      <c r="N6" s="27" t="s">
        <v>479</v>
      </c>
      <c r="O6" s="27" t="s">
        <v>476</v>
      </c>
      <c r="P6" s="27" t="s">
        <v>475</v>
      </c>
      <c r="Q6" s="27" t="s">
        <v>477</v>
      </c>
    </row>
    <row r="7" spans="1:19" s="31" customFormat="1" ht="15.75" customHeight="1" x14ac:dyDescent="0.25">
      <c r="A7" s="28" t="s">
        <v>573</v>
      </c>
      <c r="B7" s="44">
        <f>'Transmission price estimates'!B24</f>
        <v>0.67400000000000038</v>
      </c>
      <c r="C7" s="44">
        <f>'Transmission price estimates'!C24</f>
        <v>1.3910160315804374</v>
      </c>
      <c r="D7" s="44">
        <f>'Transmission price estimates'!D24</f>
        <v>0.8557669749853074</v>
      </c>
      <c r="E7" s="44">
        <f>'Transmission price estimates'!E24</f>
        <v>0.75083451759782438</v>
      </c>
      <c r="F7" s="44">
        <f>'Transmission price estimates'!F24</f>
        <v>0.34057815146786496</v>
      </c>
      <c r="G7" s="44">
        <f>'Transmission price estimates'!G24</f>
        <v>0.1001856010827088</v>
      </c>
      <c r="H7" s="44">
        <f>'Transmission price estimates'!H24</f>
        <v>0.3098018181256279</v>
      </c>
      <c r="I7" s="54"/>
      <c r="J7" s="28" t="s">
        <v>573</v>
      </c>
      <c r="K7" s="44">
        <f>'Transmission price estimates'!K24</f>
        <v>0.36854567408676542</v>
      </c>
      <c r="L7" s="44">
        <f>'Transmission price estimates'!L24</f>
        <v>0.79728178022815976</v>
      </c>
      <c r="M7" s="44">
        <f>'Transmission price estimates'!M24</f>
        <v>0.41081887371799075</v>
      </c>
      <c r="N7" s="44">
        <f>'Transmission price estimates'!N24</f>
        <v>0.56767474624308956</v>
      </c>
      <c r="O7" s="44">
        <f>'Transmission price estimates'!O24</f>
        <v>0.13093267284204657</v>
      </c>
      <c r="P7" s="44">
        <f>'Transmission price estimates'!P24</f>
        <v>-0.14217468090330021</v>
      </c>
      <c r="Q7" s="44">
        <f>'Transmission price estimates'!Q24</f>
        <v>9.8523791501637037E-2</v>
      </c>
    </row>
    <row r="8" spans="1:19" s="31" customFormat="1" ht="15.75" customHeight="1" x14ac:dyDescent="0.25">
      <c r="A8" s="28" t="s">
        <v>574</v>
      </c>
      <c r="B8" s="44">
        <f>'Distribution price estimates'!B13</f>
        <v>0.56092175168558667</v>
      </c>
      <c r="C8" s="44">
        <f>'Distribution price estimates'!C13</f>
        <v>1.4349319507428371</v>
      </c>
      <c r="D8" s="44">
        <f>'Distribution price estimates'!D13</f>
        <v>4.2813960304581267</v>
      </c>
      <c r="E8" s="44">
        <f>'Distribution price estimates'!E13</f>
        <v>2.0358376702872052</v>
      </c>
      <c r="F8" s="44">
        <f>'Distribution price estimates'!F13</f>
        <v>0.68514017144022588</v>
      </c>
      <c r="G8" s="44">
        <f>'Distribution price estimates'!G13</f>
        <v>0.16390361543278043</v>
      </c>
      <c r="H8" s="44">
        <f>'Distribution price estimates'!H13</f>
        <v>0.33337420172964793</v>
      </c>
      <c r="I8" s="54"/>
      <c r="J8" s="28" t="s">
        <v>574</v>
      </c>
      <c r="K8" s="44">
        <f>'Distribution price estimates'!M13</f>
        <v>-1.3930987702142517E-2</v>
      </c>
      <c r="L8" s="44">
        <f>'Distribution price estimates'!N13</f>
        <v>0.57343990560030456</v>
      </c>
      <c r="M8" s="44">
        <f>'Distribution price estimates'!O13</f>
        <v>3.3357456435948398</v>
      </c>
      <c r="N8" s="44">
        <f>'Distribution price estimates'!P13</f>
        <v>0.8137101140204468</v>
      </c>
      <c r="O8" s="44">
        <f>'Distribution price estimates'!Q13</f>
        <v>0.2625133095545209</v>
      </c>
      <c r="P8" s="44">
        <f>'Distribution price estimates'!R13</f>
        <v>-0.15059049222004606</v>
      </c>
      <c r="Q8" s="44">
        <f>'Distribution price estimates'!S13</f>
        <v>-5.744989611446738E-2</v>
      </c>
    </row>
    <row r="9" spans="1:19" s="31" customFormat="1" ht="15.75" customHeight="1" x14ac:dyDescent="0.25">
      <c r="A9" s="28" t="s">
        <v>575</v>
      </c>
      <c r="B9" s="44">
        <f>'Bus. operations cost estimates'!B21-'Bus. operations cost estimates'!B15</f>
        <v>0.12134925314256906</v>
      </c>
      <c r="C9" s="44">
        <f>'Bus. operations cost estimates'!C21-'Bus. operations cost estimates'!C15</f>
        <v>0.82687050928844785</v>
      </c>
      <c r="D9" s="44">
        <f>AVERAGE('Bus. operations cost estimates'!D20:D21)-'Bus. operations cost estimates'!D14</f>
        <v>3.1890208506124043</v>
      </c>
      <c r="E9" s="44">
        <f>'Bus. operations cost estimates'!E21-'Bus. operations cost estimates'!E15</f>
        <v>0.4445729542174961</v>
      </c>
      <c r="F9" s="44">
        <f>'Bus. operations cost estimates'!F21-'Bus. operations cost estimates'!F15</f>
        <v>0.17510188542158822</v>
      </c>
      <c r="G9" s="44">
        <f>'Bus. operations cost estimates'!G21-'Bus. operations cost estimates'!G15</f>
        <v>8.6984480261910191E-3</v>
      </c>
      <c r="H9" s="44">
        <f>'Bus. operations cost estimates'!H21-'Bus. operations cost estimates'!H15</f>
        <v>-0.2077455534668069</v>
      </c>
      <c r="I9" s="54"/>
      <c r="J9" s="28" t="s">
        <v>575</v>
      </c>
      <c r="K9" s="44">
        <f>'Bus. operations cost estimates'!M21-'Bus. operations cost estimates'!M15</f>
        <v>-0.10337118816163593</v>
      </c>
      <c r="L9" s="44">
        <f>'Bus. operations cost estimates'!N21-'Bus. operations cost estimates'!N15</f>
        <v>0.20610978455921813</v>
      </c>
      <c r="M9" s="44">
        <f>AVERAGE('Bus. operations cost estimates'!O20:O21)-'Bus. operations cost estimates'!O14</f>
        <v>2.6442427265654427</v>
      </c>
      <c r="N9" s="44">
        <f>'Bus. operations cost estimates'!P21-'Bus. operations cost estimates'!P15</f>
        <v>-9.2957467422494222E-2</v>
      </c>
      <c r="O9" s="44">
        <f>'Bus. operations cost estimates'!Q21-'Bus. operations cost estimates'!Q15</f>
        <v>-0.11156385119026369</v>
      </c>
      <c r="P9" s="44">
        <f>'Bus. operations cost estimates'!R21-'Bus. operations cost estimates'!R15</f>
        <v>-9.3370194602940215E-2</v>
      </c>
      <c r="Q9" s="44">
        <f>'Bus. operations cost estimates'!S21-'Bus. operations cost estimates'!S15</f>
        <v>-0.46674237590760737</v>
      </c>
    </row>
    <row r="10" spans="1:19" s="31" customFormat="1" ht="15.75" customHeight="1" x14ac:dyDescent="0.25">
      <c r="A10" s="28"/>
      <c r="B10" s="26"/>
      <c r="C10" s="26"/>
      <c r="D10" s="26"/>
      <c r="E10" s="26"/>
      <c r="F10" s="26"/>
      <c r="G10" s="26"/>
      <c r="H10" s="26"/>
      <c r="I10" s="54"/>
      <c r="J10" s="28"/>
      <c r="K10" s="26"/>
      <c r="L10" s="26"/>
      <c r="M10" s="26"/>
      <c r="N10" s="26"/>
      <c r="O10" s="26"/>
      <c r="P10" s="26"/>
      <c r="Q10" s="26"/>
    </row>
    <row r="11" spans="1:19" s="184" customFormat="1" ht="15.75" customHeight="1" x14ac:dyDescent="0.25">
      <c r="A11" s="181" t="s">
        <v>576</v>
      </c>
      <c r="B11" s="182">
        <v>3.6172690172250324</v>
      </c>
      <c r="C11" s="182">
        <v>7.2363468154815642</v>
      </c>
      <c r="D11" s="182">
        <v>12.900615219156336</v>
      </c>
      <c r="E11" s="182">
        <v>8.0998960722498747</v>
      </c>
      <c r="F11" s="182">
        <v>2.3932309826319074</v>
      </c>
      <c r="G11" s="182">
        <v>1.0460653001257896</v>
      </c>
      <c r="H11" s="182">
        <v>1.3149262469094953</v>
      </c>
      <c r="I11" s="183"/>
      <c r="J11" s="181" t="s">
        <v>576</v>
      </c>
      <c r="K11" s="182">
        <v>1.0081094421817642</v>
      </c>
      <c r="L11" s="182">
        <v>2.5141780544222136</v>
      </c>
      <c r="M11" s="182">
        <v>8.3131243068965937</v>
      </c>
      <c r="N11" s="182">
        <v>4.4729654993236068</v>
      </c>
      <c r="O11" s="182">
        <v>-5.0543859423015647E-2</v>
      </c>
      <c r="P11" s="182">
        <v>-1.2028048336584494</v>
      </c>
      <c r="Q11" s="182">
        <v>-0.8612600908333885</v>
      </c>
    </row>
    <row r="12" spans="1:19" s="184" customFormat="1" ht="15.75" customHeight="1" x14ac:dyDescent="0.25">
      <c r="A12" s="181"/>
      <c r="B12" s="182"/>
      <c r="C12" s="182"/>
      <c r="D12" s="182"/>
      <c r="E12" s="182"/>
      <c r="F12" s="182"/>
      <c r="G12" s="182"/>
      <c r="H12" s="182"/>
      <c r="I12" s="183"/>
      <c r="J12" s="181"/>
      <c r="K12" s="182"/>
      <c r="L12" s="182"/>
      <c r="M12" s="182"/>
      <c r="N12" s="182"/>
      <c r="O12" s="182"/>
      <c r="P12" s="182"/>
      <c r="Q12" s="182"/>
    </row>
    <row r="13" spans="1:19" x14ac:dyDescent="0.25">
      <c r="B13" s="48"/>
      <c r="C13" s="199"/>
      <c r="D13" s="200"/>
      <c r="E13" s="186"/>
      <c r="F13" s="186"/>
      <c r="G13" s="186"/>
      <c r="H13" s="186"/>
      <c r="I13" s="28"/>
      <c r="K13" s="195"/>
      <c r="L13" s="195"/>
      <c r="M13" s="195"/>
      <c r="N13" s="195"/>
      <c r="O13" s="195"/>
      <c r="P13" s="195"/>
      <c r="Q13" s="195"/>
      <c r="R13" s="196"/>
      <c r="S13" s="26"/>
    </row>
    <row r="14" spans="1:19" x14ac:dyDescent="0.25">
      <c r="A14" s="114" t="s">
        <v>197</v>
      </c>
      <c r="B14" t="s">
        <v>577</v>
      </c>
      <c r="C14" s="28"/>
      <c r="D14" s="28"/>
      <c r="E14" s="28"/>
      <c r="F14" s="28"/>
      <c r="G14" s="28"/>
      <c r="H14" s="28"/>
      <c r="I14" s="28"/>
      <c r="K14" s="26"/>
      <c r="L14" s="26"/>
      <c r="M14" s="26"/>
      <c r="N14" s="26"/>
    </row>
    <row r="15" spans="1:19" x14ac:dyDescent="0.25">
      <c r="A15" s="114"/>
      <c r="B15" t="s">
        <v>578</v>
      </c>
      <c r="C15" s="28"/>
      <c r="D15" s="28"/>
      <c r="E15" s="28"/>
      <c r="F15" s="28"/>
      <c r="G15" s="28"/>
      <c r="H15" s="28"/>
      <c r="I15" s="28"/>
      <c r="K15" s="26"/>
      <c r="L15" s="26"/>
      <c r="O15" s="26"/>
      <c r="Q15" s="26"/>
    </row>
    <row r="16" spans="1:19" x14ac:dyDescent="0.25">
      <c r="A16" s="114"/>
      <c r="B16" t="s">
        <v>579</v>
      </c>
      <c r="C16" s="28"/>
      <c r="D16" s="28"/>
      <c r="E16" s="28"/>
      <c r="F16" s="28"/>
      <c r="G16" s="28"/>
      <c r="H16" s="28"/>
      <c r="I16" s="28"/>
      <c r="K16" s="26"/>
      <c r="L16" s="26"/>
      <c r="O16" s="26"/>
      <c r="Q16" s="26"/>
    </row>
    <row r="17" spans="1:20" x14ac:dyDescent="0.25">
      <c r="A17" s="114"/>
      <c r="B17" t="s">
        <v>580</v>
      </c>
      <c r="C17" s="28"/>
      <c r="D17" s="28"/>
      <c r="E17" s="28"/>
      <c r="F17" s="28"/>
      <c r="G17" s="28"/>
      <c r="H17" s="28"/>
      <c r="I17" s="28"/>
      <c r="K17" s="26"/>
      <c r="L17" s="26"/>
      <c r="O17" s="26"/>
      <c r="Q17" s="26"/>
    </row>
    <row r="19" spans="1:20" x14ac:dyDescent="0.25">
      <c r="A19" s="114" t="s">
        <v>205</v>
      </c>
      <c r="B19" s="28" t="s">
        <v>581</v>
      </c>
    </row>
    <row r="20" spans="1:20" x14ac:dyDescent="0.25">
      <c r="A20" s="114"/>
      <c r="B20" s="28" t="s">
        <v>582</v>
      </c>
    </row>
    <row r="21" spans="1:20" x14ac:dyDescent="0.25">
      <c r="A21" s="114"/>
      <c r="B21" s="28" t="s">
        <v>583</v>
      </c>
    </row>
    <row r="22" spans="1:20" x14ac:dyDescent="0.25">
      <c r="B22" s="28" t="s">
        <v>584</v>
      </c>
    </row>
    <row r="23" spans="1:20" x14ac:dyDescent="0.25">
      <c r="B23" s="28" t="s">
        <v>585</v>
      </c>
    </row>
    <row r="24" spans="1:20" x14ac:dyDescent="0.25">
      <c r="B24" s="28" t="s">
        <v>586</v>
      </c>
    </row>
    <row r="25" spans="1:20" x14ac:dyDescent="0.25">
      <c r="B25" s="28" t="s">
        <v>587</v>
      </c>
    </row>
    <row r="26" spans="1:20" s="25" customFormat="1" x14ac:dyDescent="0.25">
      <c r="B26" s="28" t="s">
        <v>488</v>
      </c>
      <c r="D26" s="30"/>
      <c r="J26"/>
      <c r="K26"/>
      <c r="L26"/>
      <c r="M26"/>
      <c r="N26"/>
      <c r="O26"/>
      <c r="P26"/>
      <c r="Q26"/>
    </row>
    <row r="27" spans="1:20" s="25" customFormat="1" x14ac:dyDescent="0.25">
      <c r="B27" s="28"/>
      <c r="D27" s="30"/>
      <c r="J27"/>
      <c r="K27"/>
      <c r="L27"/>
      <c r="M27"/>
      <c r="N27"/>
      <c r="O27"/>
      <c r="P27"/>
      <c r="Q27"/>
    </row>
    <row r="28" spans="1:20" s="25" customFormat="1" x14ac:dyDescent="0.25">
      <c r="D28" s="30"/>
      <c r="J28"/>
      <c r="K28"/>
      <c r="L28"/>
      <c r="M28"/>
      <c r="N28"/>
      <c r="O28"/>
      <c r="P28"/>
      <c r="Q28"/>
    </row>
    <row r="29" spans="1:20" s="25" customFormat="1" x14ac:dyDescent="0.25">
      <c r="B29" s="28"/>
      <c r="D29" s="30"/>
      <c r="J29"/>
      <c r="K29"/>
      <c r="L29"/>
      <c r="M29"/>
      <c r="N29"/>
      <c r="O29"/>
      <c r="P29"/>
      <c r="Q29"/>
    </row>
    <row r="30" spans="1:20" s="25" customFormat="1" x14ac:dyDescent="0.25">
      <c r="B30" s="28"/>
      <c r="D30" s="30"/>
      <c r="J30"/>
      <c r="K30"/>
      <c r="L30"/>
      <c r="M30"/>
      <c r="N30"/>
      <c r="O30"/>
      <c r="P30"/>
      <c r="Q30"/>
    </row>
    <row r="31" spans="1:20" s="25" customFormat="1" x14ac:dyDescent="0.25">
      <c r="J31"/>
      <c r="T31"/>
    </row>
    <row r="36" spans="3:10" x14ac:dyDescent="0.25">
      <c r="D36" s="25"/>
    </row>
    <row r="38" spans="3:10" x14ac:dyDescent="0.25">
      <c r="C38" s="28"/>
      <c r="D38" s="25"/>
      <c r="E38" s="30"/>
      <c r="J38" s="28"/>
    </row>
    <row r="39" spans="3:10" x14ac:dyDescent="0.25">
      <c r="D39" s="25"/>
      <c r="E39" s="30"/>
      <c r="J39" s="28"/>
    </row>
    <row r="40" spans="3:10" x14ac:dyDescent="0.25">
      <c r="D40" s="25"/>
      <c r="E40" s="30"/>
      <c r="J40" s="28"/>
    </row>
    <row r="41" spans="3:10" x14ac:dyDescent="0.25">
      <c r="D41" s="25"/>
      <c r="E41" s="30"/>
      <c r="J41" s="25"/>
    </row>
    <row r="43" spans="3:10" x14ac:dyDescent="0.25">
      <c r="E43" s="30"/>
      <c r="F43" s="30"/>
      <c r="G43" s="30"/>
      <c r="H43" s="30"/>
      <c r="I43" s="30"/>
      <c r="J43" s="30"/>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E82A3-DC3B-46EB-9B70-C83EFDB58D94}">
  <sheetPr>
    <tabColor theme="9" tint="0.59999389629810485"/>
  </sheetPr>
  <dimension ref="A1:M17"/>
  <sheetViews>
    <sheetView workbookViewId="0">
      <selection activeCell="D9" sqref="D9"/>
    </sheetView>
  </sheetViews>
  <sheetFormatPr defaultRowHeight="15" x14ac:dyDescent="0.25"/>
  <cols>
    <col min="1" max="1" width="30.7109375" style="132" customWidth="1"/>
    <col min="2" max="3" width="13.85546875" style="128" customWidth="1"/>
    <col min="4" max="4" width="4.140625" style="128" customWidth="1"/>
    <col min="5" max="5" width="13.85546875" style="128" customWidth="1"/>
    <col min="6" max="6" width="13.85546875" style="76" customWidth="1"/>
    <col min="7" max="7" width="13.85546875" customWidth="1"/>
    <col min="8" max="8" width="13.85546875" style="129" customWidth="1"/>
    <col min="9" max="13" width="13.85546875" customWidth="1"/>
  </cols>
  <sheetData>
    <row r="1" spans="1:13" x14ac:dyDescent="0.25">
      <c r="A1" s="130" t="s">
        <v>87</v>
      </c>
      <c r="B1" s="134"/>
    </row>
    <row r="2" spans="1:13" x14ac:dyDescent="0.25">
      <c r="A2" s="131" t="s">
        <v>88</v>
      </c>
    </row>
    <row r="3" spans="1:13" x14ac:dyDescent="0.25">
      <c r="H3" s="142"/>
    </row>
    <row r="4" spans="1:13" x14ac:dyDescent="0.25">
      <c r="B4" s="299">
        <v>2025</v>
      </c>
      <c r="C4" s="299"/>
      <c r="D4" s="25"/>
      <c r="E4" s="299">
        <v>2024</v>
      </c>
      <c r="F4" s="299"/>
      <c r="H4" s="142"/>
    </row>
    <row r="5" spans="1:13" x14ac:dyDescent="0.25">
      <c r="A5" s="140" t="s">
        <v>588</v>
      </c>
      <c r="B5" s="157" t="s">
        <v>573</v>
      </c>
      <c r="C5" s="157" t="s">
        <v>589</v>
      </c>
      <c r="D5" s="158"/>
      <c r="E5" s="157" t="s">
        <v>573</v>
      </c>
      <c r="F5" s="157" t="s">
        <v>589</v>
      </c>
      <c r="H5" s="155"/>
      <c r="I5" s="94"/>
      <c r="J5" s="94"/>
      <c r="K5" s="94"/>
      <c r="L5" s="94"/>
      <c r="M5" s="94"/>
    </row>
    <row r="6" spans="1:13" x14ac:dyDescent="0.25">
      <c r="A6" s="154" t="s">
        <v>590</v>
      </c>
      <c r="B6" s="159">
        <v>0.21</v>
      </c>
      <c r="C6" s="77">
        <v>0.33</v>
      </c>
      <c r="D6" s="77"/>
      <c r="E6" s="77">
        <v>0.25</v>
      </c>
      <c r="F6" s="77">
        <v>0.37</v>
      </c>
      <c r="I6" s="46"/>
      <c r="J6" s="46"/>
      <c r="K6" s="46"/>
      <c r="L6" s="46"/>
      <c r="M6" s="46"/>
    </row>
    <row r="7" spans="1:13" x14ac:dyDescent="0.25">
      <c r="A7" s="154" t="s">
        <v>591</v>
      </c>
      <c r="B7" s="77">
        <v>0.26</v>
      </c>
      <c r="C7" s="77">
        <v>0.28000000000000003</v>
      </c>
      <c r="D7" s="77"/>
      <c r="E7" s="77">
        <v>0.28000000000000003</v>
      </c>
      <c r="F7" s="77">
        <v>0.28000000000000003</v>
      </c>
      <c r="I7" s="46"/>
      <c r="J7" s="46"/>
      <c r="K7" s="46"/>
      <c r="L7" s="46"/>
      <c r="M7" s="46"/>
    </row>
    <row r="8" spans="1:13" x14ac:dyDescent="0.25">
      <c r="A8" s="154" t="s">
        <v>592</v>
      </c>
      <c r="B8" s="77">
        <v>0.5</v>
      </c>
      <c r="C8" s="77">
        <v>0.31</v>
      </c>
      <c r="D8" s="77"/>
      <c r="E8" s="77">
        <v>0.42</v>
      </c>
      <c r="F8" s="77">
        <v>0.28000000000000003</v>
      </c>
    </row>
    <row r="9" spans="1:13" x14ac:dyDescent="0.25">
      <c r="A9" s="160" t="s">
        <v>459</v>
      </c>
      <c r="B9" s="161">
        <v>0.03</v>
      </c>
      <c r="C9" s="161">
        <v>0.08</v>
      </c>
      <c r="D9" s="77"/>
      <c r="E9" s="161">
        <v>0.05</v>
      </c>
      <c r="F9" s="161">
        <v>7.0000000000000007E-2</v>
      </c>
    </row>
    <row r="10" spans="1:13" x14ac:dyDescent="0.25">
      <c r="A10" s="131" t="s">
        <v>593</v>
      </c>
      <c r="B10" s="77">
        <f>SUM(B6:B9)</f>
        <v>1</v>
      </c>
      <c r="C10" s="77">
        <f t="shared" ref="C10:F10" si="0">SUM(C6:C9)</f>
        <v>1.0000000000000002</v>
      </c>
      <c r="D10" s="77"/>
      <c r="E10" s="77">
        <f t="shared" si="0"/>
        <v>1</v>
      </c>
      <c r="F10" s="77">
        <f t="shared" si="0"/>
        <v>1</v>
      </c>
    </row>
    <row r="11" spans="1:13" x14ac:dyDescent="0.25">
      <c r="B11" s="156"/>
      <c r="C11" s="156"/>
      <c r="E11" s="156"/>
      <c r="F11" s="156"/>
    </row>
    <row r="13" spans="1:13" s="128" customFormat="1" x14ac:dyDescent="0.25">
      <c r="A13" s="133" t="s">
        <v>197</v>
      </c>
      <c r="B13" s="138" t="s">
        <v>594</v>
      </c>
      <c r="F13" s="76"/>
      <c r="G13"/>
      <c r="H13" s="129"/>
      <c r="I13"/>
      <c r="J13"/>
      <c r="K13"/>
      <c r="L13"/>
      <c r="M13"/>
    </row>
    <row r="14" spans="1:13" s="128" customFormat="1" x14ac:dyDescent="0.25">
      <c r="A14" s="133"/>
      <c r="B14" s="138"/>
      <c r="C14" s="138"/>
      <c r="F14" s="76"/>
      <c r="G14"/>
      <c r="H14" s="129"/>
      <c r="I14"/>
      <c r="J14"/>
      <c r="K14"/>
      <c r="L14"/>
      <c r="M14"/>
    </row>
    <row r="15" spans="1:13" s="128" customFormat="1" x14ac:dyDescent="0.25">
      <c r="A15" s="133" t="s">
        <v>205</v>
      </c>
      <c r="B15" s="138" t="s">
        <v>595</v>
      </c>
      <c r="C15" s="139"/>
      <c r="F15" s="76"/>
      <c r="G15"/>
      <c r="H15" s="129"/>
      <c r="I15"/>
      <c r="J15"/>
      <c r="K15"/>
      <c r="L15"/>
      <c r="M15"/>
    </row>
    <row r="17" spans="1:13" s="128" customFormat="1" x14ac:dyDescent="0.25">
      <c r="A17" s="132"/>
      <c r="C17" s="139"/>
      <c r="F17" s="76"/>
      <c r="G17"/>
      <c r="H17" s="129"/>
      <c r="I17"/>
      <c r="J17"/>
      <c r="K17"/>
      <c r="L17"/>
      <c r="M17"/>
    </row>
  </sheetData>
  <mergeCells count="2">
    <mergeCell ref="B4:C4"/>
    <mergeCell ref="E4:F4"/>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37C6E-C61E-46C9-8F25-437543C6F432}">
  <sheetPr>
    <tabColor theme="9" tint="0.59999389629810485"/>
  </sheetPr>
  <dimension ref="A1:Q106"/>
  <sheetViews>
    <sheetView workbookViewId="0">
      <selection activeCell="A3" sqref="A3"/>
    </sheetView>
  </sheetViews>
  <sheetFormatPr defaultRowHeight="15" x14ac:dyDescent="0.25"/>
  <cols>
    <col min="1" max="1" width="19.42578125" style="132" customWidth="1"/>
    <col min="2" max="5" width="13.85546875" style="128" customWidth="1"/>
    <col min="6" max="6" width="21.28515625" style="128" customWidth="1"/>
    <col min="7" max="7" width="18.7109375" style="128" customWidth="1"/>
    <col min="8" max="9" width="13.85546875" style="76" customWidth="1"/>
    <col min="10" max="10" width="13.85546875" style="129" customWidth="1"/>
    <col min="11" max="14" width="13.85546875" customWidth="1"/>
    <col min="15" max="15" width="22.7109375" customWidth="1"/>
    <col min="16" max="16" width="16.5703125" customWidth="1"/>
    <col min="17" max="17" width="13.85546875" customWidth="1"/>
  </cols>
  <sheetData>
    <row r="1" spans="1:17" x14ac:dyDescent="0.25">
      <c r="A1" s="130" t="s">
        <v>89</v>
      </c>
      <c r="B1" s="134"/>
    </row>
    <row r="2" spans="1:17" x14ac:dyDescent="0.25">
      <c r="A2" s="131" t="s">
        <v>90</v>
      </c>
    </row>
    <row r="3" spans="1:17" x14ac:dyDescent="0.25">
      <c r="J3" s="142" t="s">
        <v>596</v>
      </c>
    </row>
    <row r="4" spans="1:17" ht="17.25" customHeight="1" x14ac:dyDescent="0.25">
      <c r="A4" s="140" t="s">
        <v>597</v>
      </c>
      <c r="B4" s="135" t="s">
        <v>598</v>
      </c>
      <c r="C4" s="135" t="s">
        <v>599</v>
      </c>
      <c r="D4" s="135" t="s">
        <v>600</v>
      </c>
      <c r="E4" s="135" t="s">
        <v>601</v>
      </c>
      <c r="F4" s="135" t="s">
        <v>602</v>
      </c>
      <c r="G4" s="135" t="s">
        <v>603</v>
      </c>
      <c r="H4" s="135" t="s">
        <v>604</v>
      </c>
      <c r="I4" s="265"/>
      <c r="J4" s="140" t="s">
        <v>597</v>
      </c>
      <c r="K4" s="106" t="s">
        <v>598</v>
      </c>
      <c r="L4" s="106" t="s">
        <v>599</v>
      </c>
      <c r="M4" s="106" t="s">
        <v>600</v>
      </c>
      <c r="N4" s="106" t="s">
        <v>601</v>
      </c>
      <c r="O4" s="135" t="s">
        <v>602</v>
      </c>
      <c r="P4" s="135" t="s">
        <v>603</v>
      </c>
      <c r="Q4" s="106" t="s">
        <v>604</v>
      </c>
    </row>
    <row r="5" spans="1:17" x14ac:dyDescent="0.25">
      <c r="A5" s="129">
        <v>43466</v>
      </c>
      <c r="B5" s="136">
        <v>208.2</v>
      </c>
      <c r="C5" s="128">
        <v>193.7</v>
      </c>
      <c r="D5" s="76">
        <v>250.1</v>
      </c>
      <c r="E5" s="128">
        <v>263.3</v>
      </c>
      <c r="F5" s="128">
        <v>125.4</v>
      </c>
      <c r="G5" s="128">
        <v>241</v>
      </c>
      <c r="H5" s="76">
        <v>251.71199999999999</v>
      </c>
      <c r="J5" s="129">
        <f>A5</f>
        <v>43466</v>
      </c>
      <c r="K5" s="46">
        <f t="shared" ref="K5:Q5" si="0">(B5-B$5)/B$5</f>
        <v>0</v>
      </c>
      <c r="L5" s="46">
        <f t="shared" si="0"/>
        <v>0</v>
      </c>
      <c r="M5" s="46">
        <f t="shared" si="0"/>
        <v>0</v>
      </c>
      <c r="N5" s="46">
        <f t="shared" si="0"/>
        <v>0</v>
      </c>
      <c r="O5" s="46">
        <f t="shared" si="0"/>
        <v>0</v>
      </c>
      <c r="P5" s="46">
        <f t="shared" si="0"/>
        <v>0</v>
      </c>
      <c r="Q5" s="46">
        <f t="shared" si="0"/>
        <v>0</v>
      </c>
    </row>
    <row r="6" spans="1:17" x14ac:dyDescent="0.25">
      <c r="A6" s="129">
        <v>43497</v>
      </c>
      <c r="B6" s="136">
        <v>208.2</v>
      </c>
      <c r="C6" s="128">
        <v>193.5</v>
      </c>
      <c r="D6" s="76"/>
      <c r="E6" s="128">
        <v>263.39999999999998</v>
      </c>
      <c r="F6" s="128">
        <v>125.3</v>
      </c>
      <c r="G6" s="128">
        <v>242.2</v>
      </c>
      <c r="H6" s="76">
        <v>252.77600000000001</v>
      </c>
      <c r="J6" s="129">
        <f t="shared" ref="J6:J69" si="1">A6</f>
        <v>43497</v>
      </c>
      <c r="K6" s="46">
        <f>(B6-B$5)/B$5</f>
        <v>0</v>
      </c>
      <c r="L6" s="46">
        <f>(C6-C$5)/C$5</f>
        <v>-1.0325245224573497E-3</v>
      </c>
      <c r="M6" s="46"/>
      <c r="N6" s="46">
        <f>(E6-E$5)/E$5</f>
        <v>3.797949107480664E-4</v>
      </c>
      <c r="O6" s="46">
        <f t="shared" ref="O6:O69" si="2">(F6-F$5)/F$5</f>
        <v>-7.9744816586928649E-4</v>
      </c>
      <c r="P6" s="46">
        <f t="shared" ref="P6:P69" si="3">(G6-G$5)/G$5</f>
        <v>4.9792531120331478E-3</v>
      </c>
      <c r="Q6" s="46">
        <f t="shared" ref="Q6:Q20" si="4">(H6-H$5)/H$5</f>
        <v>4.227053140096703E-3</v>
      </c>
    </row>
    <row r="7" spans="1:17" x14ac:dyDescent="0.25">
      <c r="A7" s="129">
        <v>43525</v>
      </c>
      <c r="B7" s="136">
        <v>210.1</v>
      </c>
      <c r="C7" s="128">
        <v>194</v>
      </c>
      <c r="D7" s="76">
        <v>254.6</v>
      </c>
      <c r="E7" s="128">
        <v>265.8</v>
      </c>
      <c r="F7" s="128">
        <v>125.5</v>
      </c>
      <c r="G7" s="128">
        <v>241</v>
      </c>
      <c r="H7" s="76">
        <v>254.202</v>
      </c>
      <c r="J7" s="129">
        <f t="shared" si="1"/>
        <v>43525</v>
      </c>
      <c r="K7" s="46">
        <f t="shared" ref="K7:K70" si="5">(B7-B$5)/B$5</f>
        <v>9.125840537944312E-3</v>
      </c>
      <c r="L7" s="46">
        <f t="shared" ref="L7:L20" si="6">(C7-C$5)/C$5</f>
        <v>1.5487867836861714E-3</v>
      </c>
      <c r="M7" s="46">
        <f>(D7-D$5)/D$5</f>
        <v>1.7992802878848461E-2</v>
      </c>
      <c r="N7" s="46">
        <f t="shared" ref="N7:N20" si="7">(E7-E$5)/E$5</f>
        <v>9.4948727687048998E-3</v>
      </c>
      <c r="O7" s="46">
        <f t="shared" si="2"/>
        <v>7.9744816586917319E-4</v>
      </c>
      <c r="P7" s="46">
        <f t="shared" si="3"/>
        <v>0</v>
      </c>
      <c r="Q7" s="46">
        <f t="shared" si="4"/>
        <v>9.8922578184592273E-3</v>
      </c>
    </row>
    <row r="8" spans="1:17" x14ac:dyDescent="0.25">
      <c r="A8" s="129">
        <v>43556</v>
      </c>
      <c r="B8" s="136">
        <v>210.1</v>
      </c>
      <c r="C8" s="128">
        <v>193.7</v>
      </c>
      <c r="D8" s="76">
        <v>254.1</v>
      </c>
      <c r="E8" s="128">
        <v>275.2</v>
      </c>
      <c r="F8" s="128">
        <v>127.4</v>
      </c>
      <c r="G8" s="128">
        <v>241.5</v>
      </c>
      <c r="H8" s="76">
        <v>255.548</v>
      </c>
      <c r="J8" s="129">
        <f t="shared" si="1"/>
        <v>43556</v>
      </c>
      <c r="K8" s="46">
        <f t="shared" si="5"/>
        <v>9.125840537944312E-3</v>
      </c>
      <c r="L8" s="46">
        <f t="shared" si="6"/>
        <v>0</v>
      </c>
      <c r="M8" s="46">
        <f>(D8-D$5)/D$5</f>
        <v>1.5993602558976409E-2</v>
      </c>
      <c r="N8" s="46">
        <f t="shared" si="7"/>
        <v>4.5195594379035232E-2</v>
      </c>
      <c r="O8" s="46">
        <f t="shared" si="2"/>
        <v>1.5948963317384369E-2</v>
      </c>
      <c r="P8" s="46">
        <f t="shared" si="3"/>
        <v>2.0746887966804979E-3</v>
      </c>
      <c r="Q8" s="46">
        <f t="shared" si="4"/>
        <v>1.5239638952453649E-2</v>
      </c>
    </row>
    <row r="9" spans="1:17" x14ac:dyDescent="0.25">
      <c r="A9" s="129">
        <v>43586</v>
      </c>
      <c r="B9" s="136">
        <v>210.2</v>
      </c>
      <c r="C9" s="128">
        <v>194.5</v>
      </c>
      <c r="D9" s="76"/>
      <c r="E9" s="128">
        <v>274.7</v>
      </c>
      <c r="F9" s="128">
        <v>127.5</v>
      </c>
      <c r="G9" s="128">
        <v>240.7</v>
      </c>
      <c r="H9" s="76">
        <v>256.09199999999998</v>
      </c>
      <c r="J9" s="129">
        <f t="shared" si="1"/>
        <v>43586</v>
      </c>
      <c r="K9" s="46">
        <f>(B9-B$5)/B$5</f>
        <v>9.6061479346781949E-3</v>
      </c>
      <c r="L9" s="46">
        <f t="shared" si="6"/>
        <v>4.1300980898296927E-3</v>
      </c>
      <c r="M9" s="46"/>
      <c r="N9" s="46">
        <f t="shared" si="7"/>
        <v>4.3296619825294251E-2</v>
      </c>
      <c r="O9" s="46">
        <f t="shared" si="2"/>
        <v>1.6746411483253544E-2</v>
      </c>
      <c r="P9" s="46">
        <f t="shared" si="3"/>
        <v>-1.2448132780083459E-3</v>
      </c>
      <c r="Q9" s="46">
        <f t="shared" si="4"/>
        <v>1.7400839054157114E-2</v>
      </c>
    </row>
    <row r="10" spans="1:17" x14ac:dyDescent="0.25">
      <c r="A10" s="129">
        <v>43617</v>
      </c>
      <c r="B10" s="136">
        <v>210.3</v>
      </c>
      <c r="C10" s="128">
        <v>194</v>
      </c>
      <c r="D10" s="76"/>
      <c r="E10" s="128">
        <v>272.7</v>
      </c>
      <c r="F10" s="128">
        <v>127</v>
      </c>
      <c r="G10" s="128">
        <v>239.7</v>
      </c>
      <c r="H10" s="76">
        <v>256.14299999999997</v>
      </c>
      <c r="J10" s="129">
        <f t="shared" si="1"/>
        <v>43617</v>
      </c>
      <c r="K10" s="46">
        <f t="shared" si="5"/>
        <v>1.0086455331412213E-2</v>
      </c>
      <c r="L10" s="46">
        <f t="shared" si="6"/>
        <v>1.5487867836861714E-3</v>
      </c>
      <c r="M10" s="46"/>
      <c r="N10" s="46">
        <f t="shared" si="7"/>
        <v>3.5700721610330333E-2</v>
      </c>
      <c r="O10" s="46">
        <f t="shared" si="2"/>
        <v>1.2759170653907449E-2</v>
      </c>
      <c r="P10" s="46">
        <f t="shared" si="3"/>
        <v>-5.3941908713693414E-3</v>
      </c>
      <c r="Q10" s="46">
        <f t="shared" si="4"/>
        <v>1.7603451563691773E-2</v>
      </c>
    </row>
    <row r="11" spans="1:17" x14ac:dyDescent="0.25">
      <c r="A11" s="129">
        <v>43647</v>
      </c>
      <c r="B11" s="136">
        <v>211.1</v>
      </c>
      <c r="C11" s="128">
        <v>195.2</v>
      </c>
      <c r="D11" s="76">
        <v>249.4</v>
      </c>
      <c r="E11" s="128">
        <v>273.5</v>
      </c>
      <c r="F11" s="128">
        <v>128.19999999999999</v>
      </c>
      <c r="G11" s="128">
        <v>242.5</v>
      </c>
      <c r="H11" s="76">
        <v>256.57100000000003</v>
      </c>
      <c r="J11" s="129">
        <f t="shared" si="1"/>
        <v>43647</v>
      </c>
      <c r="K11" s="46">
        <f t="shared" si="5"/>
        <v>1.3928914505283409E-2</v>
      </c>
      <c r="L11" s="46">
        <f t="shared" si="6"/>
        <v>7.7439339184305631E-3</v>
      </c>
      <c r="M11" s="46">
        <f t="shared" ref="M11:M19" si="8">(D11-D$5)/D$5</f>
        <v>-2.7988804478208261E-3</v>
      </c>
      <c r="N11" s="46">
        <f t="shared" si="7"/>
        <v>3.8739080896315947E-2</v>
      </c>
      <c r="O11" s="46">
        <f t="shared" si="2"/>
        <v>2.2328548644337982E-2</v>
      </c>
      <c r="P11" s="46">
        <f t="shared" si="3"/>
        <v>6.2240663900414933E-3</v>
      </c>
      <c r="Q11" s="46">
        <f t="shared" si="4"/>
        <v>1.930380752606168E-2</v>
      </c>
    </row>
    <row r="12" spans="1:17" x14ac:dyDescent="0.25">
      <c r="A12" s="129">
        <v>43678</v>
      </c>
      <c r="B12" s="136">
        <v>212.1</v>
      </c>
      <c r="C12" s="128">
        <v>195.4</v>
      </c>
      <c r="D12" s="76">
        <v>247.4</v>
      </c>
      <c r="E12" s="128">
        <v>272.7</v>
      </c>
      <c r="F12" s="128">
        <v>128.30000000000001</v>
      </c>
      <c r="G12" s="128">
        <v>238.6</v>
      </c>
      <c r="H12" s="76">
        <v>256.55799999999999</v>
      </c>
      <c r="J12" s="129">
        <f t="shared" si="1"/>
        <v>43678</v>
      </c>
      <c r="K12" s="46">
        <f t="shared" si="5"/>
        <v>1.8731988472622505E-2</v>
      </c>
      <c r="L12" s="46">
        <f t="shared" si="6"/>
        <v>8.7764584408880596E-3</v>
      </c>
      <c r="M12" s="46">
        <f t="shared" si="8"/>
        <v>-1.079568172730903E-2</v>
      </c>
      <c r="N12" s="46">
        <f t="shared" si="7"/>
        <v>3.5700721610330333E-2</v>
      </c>
      <c r="O12" s="46">
        <f t="shared" si="2"/>
        <v>2.312599681020738E-2</v>
      </c>
      <c r="P12" s="46">
        <f t="shared" si="3"/>
        <v>-9.9585062240664136E-3</v>
      </c>
      <c r="Q12" s="46">
        <f t="shared" si="4"/>
        <v>1.925216120010172E-2</v>
      </c>
    </row>
    <row r="13" spans="1:17" x14ac:dyDescent="0.25">
      <c r="A13" s="129">
        <v>43709</v>
      </c>
      <c r="B13" s="136">
        <v>214.7</v>
      </c>
      <c r="C13" s="128">
        <v>196.2</v>
      </c>
      <c r="D13" s="76">
        <v>244.1</v>
      </c>
      <c r="E13" s="128">
        <v>271.89999999999998</v>
      </c>
      <c r="F13" s="128">
        <v>128.5</v>
      </c>
      <c r="G13" s="128">
        <v>238.2</v>
      </c>
      <c r="H13" s="76">
        <v>256.75900000000001</v>
      </c>
      <c r="J13" s="129">
        <f t="shared" si="1"/>
        <v>43709</v>
      </c>
      <c r="K13" s="46">
        <f t="shared" si="5"/>
        <v>3.1219980787704132E-2</v>
      </c>
      <c r="L13" s="46">
        <f t="shared" si="6"/>
        <v>1.2906556530717605E-2</v>
      </c>
      <c r="M13" s="46">
        <f t="shared" si="8"/>
        <v>-2.3990403838464614E-2</v>
      </c>
      <c r="N13" s="46">
        <f t="shared" si="7"/>
        <v>3.2662362324344725E-2</v>
      </c>
      <c r="O13" s="46">
        <f t="shared" si="2"/>
        <v>2.4720893141945727E-2</v>
      </c>
      <c r="P13" s="46">
        <f t="shared" si="3"/>
        <v>-1.1618257261410836E-2</v>
      </c>
      <c r="Q13" s="46">
        <f t="shared" si="4"/>
        <v>2.0050692855326825E-2</v>
      </c>
    </row>
    <row r="14" spans="1:17" x14ac:dyDescent="0.25">
      <c r="A14" s="129">
        <v>43739</v>
      </c>
      <c r="B14" s="136">
        <v>214.8</v>
      </c>
      <c r="C14" s="128">
        <v>196.1</v>
      </c>
      <c r="D14" s="76">
        <v>247.9</v>
      </c>
      <c r="E14" s="128">
        <v>272.7</v>
      </c>
      <c r="F14" s="128">
        <v>129.30000000000001</v>
      </c>
      <c r="G14" s="128">
        <v>237.4</v>
      </c>
      <c r="H14" s="76">
        <v>257.346</v>
      </c>
      <c r="J14" s="129">
        <f t="shared" si="1"/>
        <v>43739</v>
      </c>
      <c r="K14" s="46">
        <f t="shared" si="5"/>
        <v>3.1700288184438152E-2</v>
      </c>
      <c r="L14" s="46">
        <f t="shared" si="6"/>
        <v>1.2390294269488931E-2</v>
      </c>
      <c r="M14" s="46">
        <f t="shared" si="8"/>
        <v>-8.7964814074369801E-3</v>
      </c>
      <c r="N14" s="46">
        <f t="shared" si="7"/>
        <v>3.5700721610330333E-2</v>
      </c>
      <c r="O14" s="46">
        <f t="shared" si="2"/>
        <v>3.1100478468899566E-2</v>
      </c>
      <c r="P14" s="46">
        <f t="shared" si="3"/>
        <v>-1.4937759336099561E-2</v>
      </c>
      <c r="Q14" s="46">
        <f t="shared" si="4"/>
        <v>2.2382723112128206E-2</v>
      </c>
    </row>
    <row r="15" spans="1:17" x14ac:dyDescent="0.25">
      <c r="A15" s="129">
        <v>43770</v>
      </c>
      <c r="B15" s="136">
        <v>214.8</v>
      </c>
      <c r="C15" s="128">
        <v>198.1</v>
      </c>
      <c r="D15" s="76">
        <v>245.1</v>
      </c>
      <c r="E15" s="128">
        <v>273</v>
      </c>
      <c r="F15" s="128">
        <v>129.30000000000001</v>
      </c>
      <c r="G15" s="128">
        <v>237.4</v>
      </c>
      <c r="H15" s="76">
        <v>257.20800000000003</v>
      </c>
      <c r="J15" s="129">
        <f t="shared" si="1"/>
        <v>43770</v>
      </c>
      <c r="K15" s="46">
        <f t="shared" si="5"/>
        <v>3.1700288184438152E-2</v>
      </c>
      <c r="L15" s="46">
        <f t="shared" si="6"/>
        <v>2.2715539494063016E-2</v>
      </c>
      <c r="M15" s="46">
        <f t="shared" si="8"/>
        <v>-1.9992003198720514E-2</v>
      </c>
      <c r="N15" s="46">
        <f t="shared" si="7"/>
        <v>3.6840106342574966E-2</v>
      </c>
      <c r="O15" s="46">
        <f t="shared" si="2"/>
        <v>3.1100478468899566E-2</v>
      </c>
      <c r="P15" s="46">
        <f t="shared" si="3"/>
        <v>-1.4937759336099561E-2</v>
      </c>
      <c r="Q15" s="46">
        <f t="shared" si="4"/>
        <v>2.183447749809321E-2</v>
      </c>
    </row>
    <row r="16" spans="1:17" x14ac:dyDescent="0.25">
      <c r="A16" s="129">
        <v>43800</v>
      </c>
      <c r="B16" s="136">
        <v>214.8</v>
      </c>
      <c r="C16" s="128">
        <v>200.3</v>
      </c>
      <c r="D16" s="76">
        <v>246.7</v>
      </c>
      <c r="E16" s="128">
        <v>273.8</v>
      </c>
      <c r="F16" s="128">
        <v>129.30000000000001</v>
      </c>
      <c r="G16" s="128">
        <v>237.2</v>
      </c>
      <c r="H16" s="76">
        <v>256.97399999999999</v>
      </c>
      <c r="J16" s="129">
        <f t="shared" si="1"/>
        <v>43800</v>
      </c>
      <c r="K16" s="46">
        <f t="shared" si="5"/>
        <v>3.1700288184438152E-2</v>
      </c>
      <c r="L16" s="46">
        <f t="shared" si="6"/>
        <v>3.4073309241094599E-2</v>
      </c>
      <c r="M16" s="46">
        <f t="shared" si="8"/>
        <v>-1.3594562175129971E-2</v>
      </c>
      <c r="N16" s="46">
        <f t="shared" si="7"/>
        <v>3.9878465628560573E-2</v>
      </c>
      <c r="O16" s="46">
        <f t="shared" si="2"/>
        <v>3.1100478468899566E-2</v>
      </c>
      <c r="P16" s="46">
        <f t="shared" si="3"/>
        <v>-1.5767634854771832E-2</v>
      </c>
      <c r="Q16" s="46">
        <f t="shared" si="4"/>
        <v>2.0904843630816173E-2</v>
      </c>
    </row>
    <row r="17" spans="1:17" x14ac:dyDescent="0.25">
      <c r="A17" s="129">
        <v>43831</v>
      </c>
      <c r="B17" s="136">
        <v>217.2</v>
      </c>
      <c r="C17" s="128">
        <v>199.5</v>
      </c>
      <c r="D17" s="76">
        <v>248.8</v>
      </c>
      <c r="E17" s="128">
        <v>275</v>
      </c>
      <c r="F17" s="128">
        <v>129.9</v>
      </c>
      <c r="G17" s="128">
        <v>237.5</v>
      </c>
      <c r="H17" s="76">
        <v>257.971</v>
      </c>
      <c r="J17" s="129">
        <f t="shared" si="1"/>
        <v>43831</v>
      </c>
      <c r="K17" s="46">
        <f t="shared" si="5"/>
        <v>4.3227665706051875E-2</v>
      </c>
      <c r="L17" s="46">
        <f t="shared" si="6"/>
        <v>2.9943211151264904E-2</v>
      </c>
      <c r="M17" s="46">
        <f t="shared" si="8"/>
        <v>-5.1979208316672654E-3</v>
      </c>
      <c r="N17" s="46">
        <f t="shared" si="7"/>
        <v>4.4436004557538884E-2</v>
      </c>
      <c r="O17" s="46">
        <f t="shared" si="2"/>
        <v>3.5885167464114832E-2</v>
      </c>
      <c r="P17" s="46">
        <f t="shared" si="3"/>
        <v>-1.4522821576763486E-2</v>
      </c>
      <c r="Q17" s="46">
        <f t="shared" si="4"/>
        <v>2.4865719552504509E-2</v>
      </c>
    </row>
    <row r="18" spans="1:17" x14ac:dyDescent="0.25">
      <c r="A18" s="129">
        <v>43862</v>
      </c>
      <c r="B18" s="136">
        <v>219.6</v>
      </c>
      <c r="C18" s="128">
        <v>199</v>
      </c>
      <c r="D18" s="76">
        <v>251.4</v>
      </c>
      <c r="E18" s="128">
        <v>278.39999999999998</v>
      </c>
      <c r="F18" s="128">
        <v>130.19999999999999</v>
      </c>
      <c r="G18" s="128">
        <v>238.2</v>
      </c>
      <c r="H18" s="76">
        <v>258.678</v>
      </c>
      <c r="J18" s="129">
        <f t="shared" si="1"/>
        <v>43862</v>
      </c>
      <c r="K18" s="46">
        <f t="shared" si="5"/>
        <v>5.4755043227665737E-2</v>
      </c>
      <c r="L18" s="46">
        <f t="shared" si="6"/>
        <v>2.7361899845121381E-2</v>
      </c>
      <c r="M18" s="46">
        <f t="shared" si="8"/>
        <v>5.197920831667379E-3</v>
      </c>
      <c r="N18" s="46">
        <f t="shared" si="7"/>
        <v>5.7349031522977462E-2</v>
      </c>
      <c r="O18" s="46">
        <f t="shared" si="2"/>
        <v>3.8277511961722348E-2</v>
      </c>
      <c r="P18" s="46">
        <f t="shared" si="3"/>
        <v>-1.1618257261410836E-2</v>
      </c>
      <c r="Q18" s="46">
        <f t="shared" si="4"/>
        <v>2.7674485125858156E-2</v>
      </c>
    </row>
    <row r="19" spans="1:17" x14ac:dyDescent="0.25">
      <c r="A19" s="129">
        <v>43891</v>
      </c>
      <c r="B19" s="136">
        <v>218.4</v>
      </c>
      <c r="C19" s="128">
        <v>197.9</v>
      </c>
      <c r="D19" s="76">
        <v>246.7</v>
      </c>
      <c r="E19" s="128">
        <v>277.89999999999998</v>
      </c>
      <c r="F19" s="128">
        <v>130.19999999999999</v>
      </c>
      <c r="G19" s="128">
        <v>238.9</v>
      </c>
      <c r="H19" s="76">
        <v>258.11500000000001</v>
      </c>
      <c r="J19" s="129">
        <f t="shared" si="1"/>
        <v>43891</v>
      </c>
      <c r="K19" s="46">
        <f t="shared" si="5"/>
        <v>4.8991354466858872E-2</v>
      </c>
      <c r="L19" s="46">
        <f t="shared" si="6"/>
        <v>2.1683014971605664E-2</v>
      </c>
      <c r="M19" s="46">
        <f t="shared" si="8"/>
        <v>-1.3594562175129971E-2</v>
      </c>
      <c r="N19" s="46">
        <f t="shared" si="7"/>
        <v>5.545005696923648E-2</v>
      </c>
      <c r="O19" s="46">
        <f t="shared" si="2"/>
        <v>3.8277511961722348E-2</v>
      </c>
      <c r="P19" s="46">
        <f t="shared" si="3"/>
        <v>-8.7136929460580673E-3</v>
      </c>
      <c r="Q19" s="46">
        <f t="shared" si="4"/>
        <v>2.5437801932367231E-2</v>
      </c>
    </row>
    <row r="20" spans="1:17" x14ac:dyDescent="0.25">
      <c r="A20" s="129">
        <v>43922</v>
      </c>
      <c r="B20" s="136">
        <v>218.4</v>
      </c>
      <c r="C20" s="128">
        <v>195.6</v>
      </c>
      <c r="D20" s="76"/>
      <c r="E20" s="128">
        <v>284</v>
      </c>
      <c r="F20" s="128">
        <v>130.9</v>
      </c>
      <c r="G20" s="128">
        <v>238.5</v>
      </c>
      <c r="H20" s="76">
        <v>256.38900000000001</v>
      </c>
      <c r="J20" s="129">
        <f t="shared" si="1"/>
        <v>43922</v>
      </c>
      <c r="K20" s="46">
        <f t="shared" si="5"/>
        <v>4.8991354466858872E-2</v>
      </c>
      <c r="L20" s="46">
        <f t="shared" si="6"/>
        <v>9.8089829633454095E-3</v>
      </c>
      <c r="M20" s="46"/>
      <c r="N20" s="46">
        <f t="shared" si="7"/>
        <v>7.8617546524876514E-2</v>
      </c>
      <c r="O20" s="46">
        <f t="shared" si="2"/>
        <v>4.3859649122807015E-2</v>
      </c>
      <c r="P20" s="46">
        <f t="shared" si="3"/>
        <v>-1.0373443983402489E-2</v>
      </c>
      <c r="Q20" s="46">
        <f t="shared" si="4"/>
        <v>1.8580758962624035E-2</v>
      </c>
    </row>
    <row r="21" spans="1:17" x14ac:dyDescent="0.25">
      <c r="A21" s="129">
        <v>43952</v>
      </c>
      <c r="B21" s="136">
        <v>218.4</v>
      </c>
      <c r="C21" s="128">
        <v>193.9</v>
      </c>
      <c r="D21" s="76">
        <v>243.2</v>
      </c>
      <c r="E21" s="128">
        <v>283.2</v>
      </c>
      <c r="F21" s="128">
        <v>131.1</v>
      </c>
      <c r="G21" s="128">
        <v>238.2</v>
      </c>
      <c r="H21" s="76">
        <v>256.39400000000001</v>
      </c>
      <c r="J21" s="129">
        <f t="shared" si="1"/>
        <v>43952</v>
      </c>
      <c r="K21" s="46">
        <f t="shared" si="5"/>
        <v>4.8991354466858872E-2</v>
      </c>
      <c r="L21" s="46">
        <f t="shared" ref="L21:M84" si="9">(C21-C$5)/C$5</f>
        <v>1.0325245224574965E-3</v>
      </c>
      <c r="M21" s="46">
        <f t="shared" si="9"/>
        <v>-2.7588964414234328E-2</v>
      </c>
      <c r="N21" s="46">
        <f t="shared" ref="N21:N84" si="10">(E21-E$5)/E$5</f>
        <v>7.5579187238890913E-2</v>
      </c>
      <c r="O21" s="46">
        <f t="shared" si="2"/>
        <v>4.5454545454545359E-2</v>
      </c>
      <c r="P21" s="46">
        <f t="shared" si="3"/>
        <v>-1.1618257261410836E-2</v>
      </c>
      <c r="Q21" s="46">
        <f t="shared" ref="Q21:Q84" si="11">(H21-H$5)/H$5</f>
        <v>1.8600622934147028E-2</v>
      </c>
    </row>
    <row r="22" spans="1:17" x14ac:dyDescent="0.25">
      <c r="A22" s="129">
        <v>43983</v>
      </c>
      <c r="B22" s="136">
        <v>218.9</v>
      </c>
      <c r="C22" s="128">
        <v>194.5</v>
      </c>
      <c r="D22" s="76">
        <v>241.2</v>
      </c>
      <c r="E22" s="128">
        <v>286.3</v>
      </c>
      <c r="F22" s="128">
        <v>131.1</v>
      </c>
      <c r="G22" s="128">
        <v>238.3</v>
      </c>
      <c r="H22" s="76">
        <v>257.79700000000003</v>
      </c>
      <c r="J22" s="129">
        <f t="shared" si="1"/>
        <v>43983</v>
      </c>
      <c r="K22" s="46">
        <f t="shared" si="5"/>
        <v>5.1392891450528423E-2</v>
      </c>
      <c r="L22" s="46">
        <f t="shared" si="9"/>
        <v>4.1300980898296927E-3</v>
      </c>
      <c r="M22" s="46">
        <f t="shared" si="9"/>
        <v>-3.5585765693722536E-2</v>
      </c>
      <c r="N22" s="46">
        <f t="shared" si="10"/>
        <v>8.7352829472085072E-2</v>
      </c>
      <c r="O22" s="46">
        <f t="shared" si="2"/>
        <v>4.5454545454545359E-2</v>
      </c>
      <c r="P22" s="46">
        <f t="shared" si="3"/>
        <v>-1.1203319502074642E-2</v>
      </c>
      <c r="Q22" s="46">
        <f t="shared" si="11"/>
        <v>2.4174453343503832E-2</v>
      </c>
    </row>
    <row r="23" spans="1:17" x14ac:dyDescent="0.25">
      <c r="A23" s="129">
        <v>44013</v>
      </c>
      <c r="B23" s="136">
        <v>220.6</v>
      </c>
      <c r="C23" s="128">
        <v>197.4</v>
      </c>
      <c r="D23" s="76">
        <v>248.3</v>
      </c>
      <c r="E23" s="128">
        <v>287.7</v>
      </c>
      <c r="F23" s="128">
        <v>131.6</v>
      </c>
      <c r="G23" s="128">
        <v>237.7</v>
      </c>
      <c r="H23" s="76">
        <v>259.101</v>
      </c>
      <c r="J23" s="129">
        <f t="shared" si="1"/>
        <v>44013</v>
      </c>
      <c r="K23" s="46">
        <f t="shared" si="5"/>
        <v>5.9558117195004832E-2</v>
      </c>
      <c r="L23" s="46">
        <f t="shared" si="9"/>
        <v>1.9101703665462145E-2</v>
      </c>
      <c r="M23" s="46">
        <f t="shared" si="9"/>
        <v>-7.1971211515393166E-3</v>
      </c>
      <c r="N23" s="46">
        <f t="shared" si="10"/>
        <v>9.2669958222559731E-2</v>
      </c>
      <c r="O23" s="46">
        <f t="shared" si="2"/>
        <v>4.9441786283891453E-2</v>
      </c>
      <c r="P23" s="46">
        <f t="shared" si="3"/>
        <v>-1.3692946058091333E-2</v>
      </c>
      <c r="Q23" s="46">
        <f t="shared" si="11"/>
        <v>2.9354977116704848E-2</v>
      </c>
    </row>
    <row r="24" spans="1:17" x14ac:dyDescent="0.25">
      <c r="A24" s="129">
        <v>44044</v>
      </c>
      <c r="B24" s="136">
        <v>218.4</v>
      </c>
      <c r="C24" s="128">
        <v>198.2</v>
      </c>
      <c r="D24" s="76">
        <v>253.6</v>
      </c>
      <c r="E24" s="128">
        <v>290.10000000000002</v>
      </c>
      <c r="F24" s="128">
        <v>131.4</v>
      </c>
      <c r="G24" s="128">
        <v>238.7</v>
      </c>
      <c r="H24" s="76">
        <v>259.91800000000001</v>
      </c>
      <c r="J24" s="129">
        <f t="shared" si="1"/>
        <v>44044</v>
      </c>
      <c r="K24" s="46">
        <f t="shared" si="5"/>
        <v>4.8991354466858872E-2</v>
      </c>
      <c r="L24" s="46">
        <f t="shared" si="9"/>
        <v>2.323180175529169E-2</v>
      </c>
      <c r="M24" s="46">
        <f t="shared" si="9"/>
        <v>1.3994402239104359E-2</v>
      </c>
      <c r="N24" s="46">
        <f t="shared" si="10"/>
        <v>0.10178503608051656</v>
      </c>
      <c r="O24" s="46">
        <f t="shared" si="2"/>
        <v>4.784688995215311E-2</v>
      </c>
      <c r="P24" s="46">
        <f t="shared" si="3"/>
        <v>-9.5435684647303381E-3</v>
      </c>
      <c r="Q24" s="46">
        <f t="shared" si="11"/>
        <v>3.2600750063564776E-2</v>
      </c>
    </row>
    <row r="25" spans="1:17" x14ac:dyDescent="0.25">
      <c r="A25" s="129">
        <v>44075</v>
      </c>
      <c r="B25" s="136">
        <v>218.8</v>
      </c>
      <c r="C25" s="128">
        <v>198.6</v>
      </c>
      <c r="D25" s="76">
        <v>258</v>
      </c>
      <c r="E25" s="128">
        <v>292.39999999999998</v>
      </c>
      <c r="F25" s="128">
        <v>131.1</v>
      </c>
      <c r="G25" s="128">
        <v>238.9</v>
      </c>
      <c r="H25" s="76">
        <v>260.27999999999997</v>
      </c>
      <c r="J25" s="129">
        <f t="shared" si="1"/>
        <v>44075</v>
      </c>
      <c r="K25" s="46">
        <f t="shared" si="5"/>
        <v>5.0912584053794542E-2</v>
      </c>
      <c r="L25" s="46">
        <f t="shared" si="9"/>
        <v>2.5296850800206536E-2</v>
      </c>
      <c r="M25" s="46">
        <f t="shared" si="9"/>
        <v>3.1587365053978432E-2</v>
      </c>
      <c r="N25" s="46">
        <f t="shared" si="10"/>
        <v>0.1105203190277249</v>
      </c>
      <c r="O25" s="46">
        <f t="shared" si="2"/>
        <v>4.5454545454545359E-2</v>
      </c>
      <c r="P25" s="46">
        <f t="shared" si="3"/>
        <v>-8.7136929460580673E-3</v>
      </c>
      <c r="Q25" s="46">
        <f t="shared" si="11"/>
        <v>3.4038901601830603E-2</v>
      </c>
    </row>
    <row r="26" spans="1:17" x14ac:dyDescent="0.25">
      <c r="A26" s="129">
        <v>44105</v>
      </c>
      <c r="B26" s="136">
        <v>219.3</v>
      </c>
      <c r="C26" s="128">
        <v>199.4</v>
      </c>
      <c r="D26" s="76">
        <v>261.7</v>
      </c>
      <c r="E26" s="128">
        <v>289.39999999999998</v>
      </c>
      <c r="F26" s="128">
        <v>131.80000000000001</v>
      </c>
      <c r="G26" s="128">
        <v>237.9</v>
      </c>
      <c r="H26" s="76">
        <v>260.38799999999998</v>
      </c>
      <c r="J26" s="129">
        <f t="shared" si="1"/>
        <v>44105</v>
      </c>
      <c r="K26" s="46">
        <f t="shared" si="5"/>
        <v>5.3314121037464086E-2</v>
      </c>
      <c r="L26" s="46">
        <f t="shared" si="9"/>
        <v>2.9426948890036227E-2</v>
      </c>
      <c r="M26" s="46">
        <f t="shared" si="9"/>
        <v>4.6381447421031563E-2</v>
      </c>
      <c r="N26" s="46">
        <f t="shared" si="10"/>
        <v>9.912647170527901E-2</v>
      </c>
      <c r="O26" s="46">
        <f t="shared" si="2"/>
        <v>5.1036682615630026E-2</v>
      </c>
      <c r="P26" s="46">
        <f t="shared" si="3"/>
        <v>-1.2863070539419064E-2</v>
      </c>
      <c r="Q26" s="46">
        <f t="shared" si="11"/>
        <v>3.446796338672764E-2</v>
      </c>
    </row>
    <row r="27" spans="1:17" x14ac:dyDescent="0.25">
      <c r="A27" s="129">
        <v>44136</v>
      </c>
      <c r="B27" s="136">
        <v>220.4</v>
      </c>
      <c r="C27" s="128">
        <v>200.7</v>
      </c>
      <c r="D27" s="76">
        <v>267.89999999999998</v>
      </c>
      <c r="E27" s="128">
        <v>287.39999999999998</v>
      </c>
      <c r="F27" s="128">
        <v>131.80000000000001</v>
      </c>
      <c r="G27" s="128">
        <v>239.1</v>
      </c>
      <c r="H27" s="76">
        <v>260.22899999999998</v>
      </c>
      <c r="J27" s="129">
        <f t="shared" si="1"/>
        <v>44136</v>
      </c>
      <c r="K27" s="46">
        <f t="shared" si="5"/>
        <v>5.859750240153707E-2</v>
      </c>
      <c r="L27" s="46">
        <f t="shared" si="9"/>
        <v>3.6138358286009295E-2</v>
      </c>
      <c r="M27" s="46">
        <f t="shared" si="9"/>
        <v>7.1171531387444961E-2</v>
      </c>
      <c r="N27" s="46">
        <f t="shared" si="10"/>
        <v>9.1530573490315098E-2</v>
      </c>
      <c r="O27" s="46">
        <f t="shared" si="2"/>
        <v>5.1036682615630026E-2</v>
      </c>
      <c r="P27" s="46">
        <f t="shared" si="3"/>
        <v>-7.8838174273859161E-3</v>
      </c>
      <c r="Q27" s="46">
        <f t="shared" si="11"/>
        <v>3.383628909229594E-2</v>
      </c>
    </row>
    <row r="28" spans="1:17" x14ac:dyDescent="0.25">
      <c r="A28" s="129">
        <v>44166</v>
      </c>
      <c r="B28" s="136">
        <v>221.1</v>
      </c>
      <c r="C28" s="128">
        <v>201.5</v>
      </c>
      <c r="D28" s="76">
        <v>266.60000000000002</v>
      </c>
      <c r="E28" s="128">
        <v>288.89999999999998</v>
      </c>
      <c r="F28" s="128">
        <v>131.9</v>
      </c>
      <c r="G28" s="128">
        <v>242</v>
      </c>
      <c r="H28" s="76">
        <v>260.47399999999999</v>
      </c>
      <c r="J28" s="129">
        <f t="shared" si="1"/>
        <v>44166</v>
      </c>
      <c r="K28" s="46">
        <f t="shared" si="5"/>
        <v>6.1959654178674384E-2</v>
      </c>
      <c r="L28" s="46">
        <f t="shared" si="9"/>
        <v>4.0268456375838986E-2</v>
      </c>
      <c r="M28" s="46">
        <f t="shared" si="9"/>
        <v>6.5973610555777801E-2</v>
      </c>
      <c r="N28" s="46">
        <f t="shared" si="10"/>
        <v>9.7227497151538042E-2</v>
      </c>
      <c r="O28" s="46">
        <f t="shared" si="2"/>
        <v>5.1834130781499198E-2</v>
      </c>
      <c r="P28" s="46">
        <f t="shared" si="3"/>
        <v>4.1493775933609959E-3</v>
      </c>
      <c r="Q28" s="46">
        <f t="shared" si="11"/>
        <v>3.4809623696923468E-2</v>
      </c>
    </row>
    <row r="29" spans="1:17" x14ac:dyDescent="0.25">
      <c r="A29" s="129">
        <v>44197</v>
      </c>
      <c r="B29" s="136">
        <v>221.5</v>
      </c>
      <c r="C29" s="128">
        <v>204.6</v>
      </c>
      <c r="D29" s="76">
        <v>275.2</v>
      </c>
      <c r="E29" s="128">
        <v>294.5</v>
      </c>
      <c r="F29" s="128">
        <v>131.5</v>
      </c>
      <c r="G29" s="128">
        <v>245.5</v>
      </c>
      <c r="H29" s="76">
        <v>261.58199999999999</v>
      </c>
      <c r="J29" s="129">
        <f t="shared" si="1"/>
        <v>44197</v>
      </c>
      <c r="K29" s="46">
        <f t="shared" si="5"/>
        <v>6.3880883765610047E-2</v>
      </c>
      <c r="L29" s="46">
        <f t="shared" si="9"/>
        <v>5.6272586473928791E-2</v>
      </c>
      <c r="M29" s="46">
        <f t="shared" si="9"/>
        <v>0.10035985605757695</v>
      </c>
      <c r="N29" s="46">
        <f t="shared" si="10"/>
        <v>0.11849601215343709</v>
      </c>
      <c r="O29" s="46">
        <f t="shared" si="2"/>
        <v>4.8644338118022282E-2</v>
      </c>
      <c r="P29" s="46">
        <f t="shared" si="3"/>
        <v>1.8672199170124481E-2</v>
      </c>
      <c r="Q29" s="46">
        <f t="shared" si="11"/>
        <v>3.9211479786422601E-2</v>
      </c>
    </row>
    <row r="30" spans="1:17" x14ac:dyDescent="0.25">
      <c r="A30" s="129">
        <v>44228</v>
      </c>
      <c r="B30" s="136">
        <v>222.9</v>
      </c>
      <c r="C30" s="128">
        <v>205.5</v>
      </c>
      <c r="D30" s="76">
        <v>280.3</v>
      </c>
      <c r="E30" s="128">
        <v>293.2</v>
      </c>
      <c r="F30" s="128">
        <v>131.6</v>
      </c>
      <c r="G30" s="128">
        <v>252.9</v>
      </c>
      <c r="H30" s="76">
        <v>263.01400000000001</v>
      </c>
      <c r="J30" s="129">
        <f t="shared" si="1"/>
        <v>44228</v>
      </c>
      <c r="K30" s="46">
        <f t="shared" si="5"/>
        <v>7.0605187319884813E-2</v>
      </c>
      <c r="L30" s="46">
        <f t="shared" si="9"/>
        <v>6.0918946824987157E-2</v>
      </c>
      <c r="M30" s="46">
        <f t="shared" si="9"/>
        <v>0.12075169932027197</v>
      </c>
      <c r="N30" s="46">
        <f t="shared" si="10"/>
        <v>0.1135586783137105</v>
      </c>
      <c r="O30" s="46">
        <f t="shared" si="2"/>
        <v>4.9441786283891453E-2</v>
      </c>
      <c r="P30" s="46">
        <f t="shared" si="3"/>
        <v>4.9377593360995876E-2</v>
      </c>
      <c r="Q30" s="46">
        <f t="shared" si="11"/>
        <v>4.4900521230612847E-2</v>
      </c>
    </row>
    <row r="31" spans="1:17" x14ac:dyDescent="0.25">
      <c r="A31" s="129">
        <v>44256</v>
      </c>
      <c r="B31" s="136">
        <v>223</v>
      </c>
      <c r="C31" s="128">
        <v>209.9</v>
      </c>
      <c r="D31" s="76">
        <v>284.7</v>
      </c>
      <c r="E31" s="128">
        <v>294.3</v>
      </c>
      <c r="F31" s="128">
        <v>131.69999999999999</v>
      </c>
      <c r="G31" s="128">
        <v>263.3</v>
      </c>
      <c r="H31" s="76">
        <v>264.87700000000001</v>
      </c>
      <c r="J31" s="129">
        <f t="shared" si="1"/>
        <v>44256</v>
      </c>
      <c r="K31" s="46">
        <f t="shared" si="5"/>
        <v>7.1085494716618694E-2</v>
      </c>
      <c r="L31" s="46">
        <f t="shared" si="9"/>
        <v>8.3634486319050169E-2</v>
      </c>
      <c r="M31" s="46">
        <f t="shared" si="9"/>
        <v>0.13834466213514593</v>
      </c>
      <c r="N31" s="46">
        <f t="shared" si="10"/>
        <v>0.11773642233194075</v>
      </c>
      <c r="O31" s="46">
        <f t="shared" si="2"/>
        <v>5.0239234449760625E-2</v>
      </c>
      <c r="P31" s="46">
        <f t="shared" si="3"/>
        <v>9.2531120331950253E-2</v>
      </c>
      <c r="Q31" s="46">
        <f t="shared" si="11"/>
        <v>5.2301837020086533E-2</v>
      </c>
    </row>
    <row r="32" spans="1:17" x14ac:dyDescent="0.25">
      <c r="A32" s="129">
        <v>44287</v>
      </c>
      <c r="B32" s="136">
        <v>225.4</v>
      </c>
      <c r="C32" s="128">
        <v>213.9</v>
      </c>
      <c r="D32" s="76">
        <v>306.2</v>
      </c>
      <c r="E32" s="128">
        <v>299.10000000000002</v>
      </c>
      <c r="F32" s="128">
        <v>134.1</v>
      </c>
      <c r="G32" s="128">
        <v>272.60000000000002</v>
      </c>
      <c r="H32" s="76">
        <v>267.05399999999997</v>
      </c>
      <c r="J32" s="129">
        <f t="shared" si="1"/>
        <v>44287</v>
      </c>
      <c r="K32" s="46">
        <f t="shared" si="5"/>
        <v>8.2612872238232549E-2</v>
      </c>
      <c r="L32" s="46">
        <f t="shared" si="9"/>
        <v>0.10428497676819834</v>
      </c>
      <c r="M32" s="46">
        <f t="shared" si="9"/>
        <v>0.22431027588964411</v>
      </c>
      <c r="N32" s="46">
        <f t="shared" si="10"/>
        <v>0.1359665780478542</v>
      </c>
      <c r="O32" s="46">
        <f t="shared" si="2"/>
        <v>6.9377990430621914E-2</v>
      </c>
      <c r="P32" s="46">
        <f t="shared" si="3"/>
        <v>0.13112033195020756</v>
      </c>
      <c r="Q32" s="46">
        <f t="shared" si="11"/>
        <v>6.0950610221205126E-2</v>
      </c>
    </row>
    <row r="33" spans="1:17" x14ac:dyDescent="0.25">
      <c r="A33" s="129">
        <v>44317</v>
      </c>
      <c r="B33" s="136">
        <v>226.2</v>
      </c>
      <c r="C33" s="128">
        <v>226.4</v>
      </c>
      <c r="D33" s="76">
        <v>309.39999999999998</v>
      </c>
      <c r="E33" s="128">
        <v>301</v>
      </c>
      <c r="F33" s="128">
        <v>134.6</v>
      </c>
      <c r="G33" s="128">
        <v>282.39999999999998</v>
      </c>
      <c r="H33" s="76">
        <v>269.19499999999999</v>
      </c>
      <c r="J33" s="129">
        <f t="shared" si="1"/>
        <v>44317</v>
      </c>
      <c r="K33" s="46">
        <f t="shared" si="5"/>
        <v>8.645533141210375E-2</v>
      </c>
      <c r="L33" s="46">
        <f t="shared" si="9"/>
        <v>0.16881775942178637</v>
      </c>
      <c r="M33" s="46">
        <f t="shared" si="9"/>
        <v>0.23710515793682521</v>
      </c>
      <c r="N33" s="46">
        <f t="shared" si="10"/>
        <v>0.14318268135206982</v>
      </c>
      <c r="O33" s="46">
        <f t="shared" si="2"/>
        <v>7.3365231259968008E-2</v>
      </c>
      <c r="P33" s="46">
        <f t="shared" si="3"/>
        <v>0.17178423236514515</v>
      </c>
      <c r="Q33" s="46">
        <f t="shared" si="11"/>
        <v>6.9456362827358273E-2</v>
      </c>
    </row>
    <row r="34" spans="1:17" x14ac:dyDescent="0.25">
      <c r="A34" s="129">
        <v>44348</v>
      </c>
      <c r="B34" s="136">
        <v>227.1</v>
      </c>
      <c r="C34" s="128">
        <v>233.2</v>
      </c>
      <c r="D34" s="76">
        <v>347.3</v>
      </c>
      <c r="E34" s="128">
        <v>298.3</v>
      </c>
      <c r="F34" s="128">
        <v>135</v>
      </c>
      <c r="G34" s="128">
        <v>297.60000000000002</v>
      </c>
      <c r="H34" s="76">
        <v>271.69600000000003</v>
      </c>
      <c r="J34" s="129">
        <f t="shared" si="1"/>
        <v>44348</v>
      </c>
      <c r="K34" s="46">
        <f t="shared" si="5"/>
        <v>9.0778097982708972E-2</v>
      </c>
      <c r="L34" s="46">
        <f t="shared" si="9"/>
        <v>0.20392359318533818</v>
      </c>
      <c r="M34" s="46">
        <f t="shared" si="9"/>
        <v>0.38864454218312683</v>
      </c>
      <c r="N34" s="46">
        <f t="shared" si="10"/>
        <v>0.13292821876186858</v>
      </c>
      <c r="O34" s="46">
        <f t="shared" si="2"/>
        <v>7.6555023923444931E-2</v>
      </c>
      <c r="P34" s="46">
        <f t="shared" si="3"/>
        <v>0.23485477178423245</v>
      </c>
      <c r="Q34" s="46">
        <f t="shared" si="11"/>
        <v>7.9392321383168221E-2</v>
      </c>
    </row>
    <row r="35" spans="1:17" x14ac:dyDescent="0.25">
      <c r="A35" s="129">
        <v>44378</v>
      </c>
      <c r="B35" s="136">
        <v>231.54300000000001</v>
      </c>
      <c r="C35" s="128">
        <v>234.45500000000001</v>
      </c>
      <c r="D35" s="76">
        <v>348.73200000000003</v>
      </c>
      <c r="E35" s="128">
        <v>291.88099999999997</v>
      </c>
      <c r="F35" s="128">
        <v>135.83500000000001</v>
      </c>
      <c r="G35" s="128">
        <v>307.52699999999999</v>
      </c>
      <c r="H35" s="76">
        <v>273.00299999999999</v>
      </c>
      <c r="J35" s="129">
        <f t="shared" si="1"/>
        <v>44378</v>
      </c>
      <c r="K35" s="46">
        <f t="shared" si="5"/>
        <v>0.11211815561959664</v>
      </c>
      <c r="L35" s="46">
        <f t="shared" si="9"/>
        <v>0.21040268456375852</v>
      </c>
      <c r="M35" s="46">
        <f t="shared" si="9"/>
        <v>0.39437025189924046</v>
      </c>
      <c r="N35" s="46">
        <f t="shared" si="10"/>
        <v>0.10854918344094173</v>
      </c>
      <c r="O35" s="46">
        <f t="shared" si="2"/>
        <v>8.3213716108452962E-2</v>
      </c>
      <c r="P35" s="46">
        <f t="shared" si="3"/>
        <v>0.27604564315352692</v>
      </c>
      <c r="Q35" s="46">
        <f t="shared" si="11"/>
        <v>8.4584763539282987E-2</v>
      </c>
    </row>
    <row r="36" spans="1:17" x14ac:dyDescent="0.25">
      <c r="A36" s="129">
        <v>44409</v>
      </c>
      <c r="B36" s="136">
        <v>233.56700000000001</v>
      </c>
      <c r="C36" s="128">
        <v>234.678</v>
      </c>
      <c r="D36" s="76">
        <v>358.03899999999999</v>
      </c>
      <c r="E36" s="128">
        <v>293.22300000000001</v>
      </c>
      <c r="F36" s="128">
        <v>138.87700000000001</v>
      </c>
      <c r="G36" s="128">
        <v>317.96800000000002</v>
      </c>
      <c r="H36" s="76">
        <v>273.56700000000001</v>
      </c>
      <c r="J36" s="129">
        <f t="shared" si="1"/>
        <v>44409</v>
      </c>
      <c r="K36" s="46">
        <f t="shared" si="5"/>
        <v>0.12183957732949097</v>
      </c>
      <c r="L36" s="46">
        <f t="shared" si="9"/>
        <v>0.21155394940629846</v>
      </c>
      <c r="M36" s="46">
        <f t="shared" si="9"/>
        <v>0.43158336665333863</v>
      </c>
      <c r="N36" s="46">
        <f t="shared" si="10"/>
        <v>0.11364603114318268</v>
      </c>
      <c r="O36" s="46">
        <f t="shared" si="2"/>
        <v>0.10747208931419461</v>
      </c>
      <c r="P36" s="46">
        <f t="shared" si="3"/>
        <v>0.31936929460580921</v>
      </c>
      <c r="Q36" s="46">
        <f t="shared" si="11"/>
        <v>8.6825419527078646E-2</v>
      </c>
    </row>
    <row r="37" spans="1:17" x14ac:dyDescent="0.25">
      <c r="A37" s="129">
        <v>44440</v>
      </c>
      <c r="B37" s="136">
        <v>239.98099999999999</v>
      </c>
      <c r="C37" s="128">
        <v>241.91800000000001</v>
      </c>
      <c r="D37" s="76">
        <v>362.12400000000002</v>
      </c>
      <c r="E37" s="128">
        <v>294.90800000000002</v>
      </c>
      <c r="F37" s="128">
        <v>138.126</v>
      </c>
      <c r="G37" s="128">
        <v>325.666</v>
      </c>
      <c r="H37" s="76">
        <v>274.31</v>
      </c>
      <c r="J37" s="129">
        <f t="shared" si="1"/>
        <v>44440</v>
      </c>
      <c r="K37" s="46">
        <f t="shared" si="5"/>
        <v>0.15264649375600389</v>
      </c>
      <c r="L37" s="46">
        <f t="shared" si="9"/>
        <v>0.24893133711925669</v>
      </c>
      <c r="M37" s="46">
        <f t="shared" si="9"/>
        <v>0.44791683326669346</v>
      </c>
      <c r="N37" s="46">
        <f t="shared" si="10"/>
        <v>0.1200455753892898</v>
      </c>
      <c r="O37" s="46">
        <f t="shared" si="2"/>
        <v>0.10148325358851673</v>
      </c>
      <c r="P37" s="46">
        <f t="shared" si="3"/>
        <v>0.35131120331950205</v>
      </c>
      <c r="Q37" s="46">
        <f t="shared" si="11"/>
        <v>8.9777205695397974E-2</v>
      </c>
    </row>
    <row r="38" spans="1:17" x14ac:dyDescent="0.25">
      <c r="A38" s="129">
        <v>44470</v>
      </c>
      <c r="B38" s="136">
        <v>240.40700000000001</v>
      </c>
      <c r="C38" s="128">
        <v>247.75299999999999</v>
      </c>
      <c r="D38" s="76">
        <v>406.267</v>
      </c>
      <c r="E38" s="128">
        <v>295.85700000000003</v>
      </c>
      <c r="F38" s="128">
        <v>143.19300000000001</v>
      </c>
      <c r="G38" s="128">
        <v>331.37400000000002</v>
      </c>
      <c r="H38" s="76">
        <v>276.589</v>
      </c>
      <c r="J38" s="129">
        <f t="shared" si="1"/>
        <v>44470</v>
      </c>
      <c r="K38" s="46">
        <f t="shared" si="5"/>
        <v>0.15469260326609041</v>
      </c>
      <c r="L38" s="46">
        <f t="shared" si="9"/>
        <v>0.27905524006195148</v>
      </c>
      <c r="M38" s="46">
        <f t="shared" si="9"/>
        <v>0.62441823270691721</v>
      </c>
      <c r="N38" s="46">
        <f t="shared" si="10"/>
        <v>0.12364982909229022</v>
      </c>
      <c r="O38" s="46">
        <f t="shared" si="2"/>
        <v>0.14188995215311009</v>
      </c>
      <c r="P38" s="46">
        <f t="shared" si="3"/>
        <v>0.37499585062240676</v>
      </c>
      <c r="Q38" s="46">
        <f t="shared" si="11"/>
        <v>9.8831203915586113E-2</v>
      </c>
    </row>
    <row r="39" spans="1:17" x14ac:dyDescent="0.25">
      <c r="A39" s="129">
        <v>44501</v>
      </c>
      <c r="B39" s="136">
        <v>241.32900000000001</v>
      </c>
      <c r="C39" s="128">
        <v>261.77199999999999</v>
      </c>
      <c r="D39" s="76">
        <v>415.34500000000003</v>
      </c>
      <c r="E39" s="128">
        <v>294.68599999999998</v>
      </c>
      <c r="F39" s="128">
        <v>144.35</v>
      </c>
      <c r="G39" s="128">
        <v>341.08600000000001</v>
      </c>
      <c r="H39" s="76">
        <v>277.94799999999998</v>
      </c>
      <c r="J39" s="129">
        <f t="shared" si="1"/>
        <v>44501</v>
      </c>
      <c r="K39" s="46">
        <f t="shared" si="5"/>
        <v>0.15912103746397704</v>
      </c>
      <c r="L39" s="46">
        <f t="shared" si="9"/>
        <v>0.35143004646360354</v>
      </c>
      <c r="M39" s="46">
        <f t="shared" si="9"/>
        <v>0.66071571371451432</v>
      </c>
      <c r="N39" s="46">
        <f t="shared" si="10"/>
        <v>0.11920243068742865</v>
      </c>
      <c r="O39" s="46">
        <f t="shared" si="2"/>
        <v>0.15111642743221682</v>
      </c>
      <c r="P39" s="46">
        <f t="shared" si="3"/>
        <v>0.41529460580912869</v>
      </c>
      <c r="Q39" s="46">
        <f t="shared" si="11"/>
        <v>0.10423023137554026</v>
      </c>
    </row>
    <row r="40" spans="1:17" x14ac:dyDescent="0.25">
      <c r="A40" s="129">
        <v>44531</v>
      </c>
      <c r="B40" s="136">
        <v>243.46799999999999</v>
      </c>
      <c r="C40" s="128">
        <v>273.45299999999997</v>
      </c>
      <c r="D40" s="76">
        <v>414.197</v>
      </c>
      <c r="E40" s="128">
        <v>295.38099999999997</v>
      </c>
      <c r="F40" s="128">
        <v>144.60499999999999</v>
      </c>
      <c r="G40" s="128">
        <v>346.22399999999999</v>
      </c>
      <c r="H40" s="76">
        <v>278.80200000000002</v>
      </c>
      <c r="J40" s="129">
        <f t="shared" si="1"/>
        <v>44531</v>
      </c>
      <c r="K40" s="46">
        <f t="shared" si="5"/>
        <v>0.16939481268011528</v>
      </c>
      <c r="L40" s="46">
        <f t="shared" si="9"/>
        <v>0.4117346411977284</v>
      </c>
      <c r="M40" s="46">
        <f t="shared" si="9"/>
        <v>0.65612554978008797</v>
      </c>
      <c r="N40" s="46">
        <f t="shared" si="10"/>
        <v>0.12184200531712859</v>
      </c>
      <c r="O40" s="46">
        <f t="shared" si="2"/>
        <v>0.15314992025518329</v>
      </c>
      <c r="P40" s="46">
        <f t="shared" si="3"/>
        <v>0.43661410788381738</v>
      </c>
      <c r="Q40" s="46">
        <f t="shared" si="11"/>
        <v>0.10762299771167061</v>
      </c>
    </row>
    <row r="41" spans="1:17" x14ac:dyDescent="0.25">
      <c r="A41" s="129">
        <v>44562</v>
      </c>
      <c r="B41" s="136">
        <v>245.19200000000001</v>
      </c>
      <c r="C41" s="128">
        <v>272.87700000000001</v>
      </c>
      <c r="D41" s="76">
        <v>405.82</v>
      </c>
      <c r="E41" s="128">
        <v>297.24099999999999</v>
      </c>
      <c r="F41" s="128">
        <v>146.173</v>
      </c>
      <c r="G41" s="128">
        <v>350.142</v>
      </c>
      <c r="H41" s="76">
        <v>281.14800000000002</v>
      </c>
      <c r="J41" s="129">
        <f t="shared" si="1"/>
        <v>44562</v>
      </c>
      <c r="K41" s="46">
        <f t="shared" si="5"/>
        <v>0.17767531219980798</v>
      </c>
      <c r="L41" s="46">
        <f t="shared" si="9"/>
        <v>0.40876097057305122</v>
      </c>
      <c r="M41" s="46">
        <f t="shared" si="9"/>
        <v>0.62263094762095161</v>
      </c>
      <c r="N41" s="46">
        <f t="shared" si="10"/>
        <v>0.12890619065704509</v>
      </c>
      <c r="O41" s="46">
        <f t="shared" si="2"/>
        <v>0.16565390749601272</v>
      </c>
      <c r="P41" s="46">
        <f t="shared" si="3"/>
        <v>0.45287136929460581</v>
      </c>
      <c r="Q41" s="46">
        <f t="shared" si="11"/>
        <v>0.11694317315026712</v>
      </c>
    </row>
    <row r="42" spans="1:17" x14ac:dyDescent="0.25">
      <c r="A42" s="129">
        <v>44593</v>
      </c>
      <c r="B42" s="136">
        <v>259.86099999999999</v>
      </c>
      <c r="C42" s="128">
        <v>273.68</v>
      </c>
      <c r="D42" s="76">
        <v>412.875</v>
      </c>
      <c r="E42" s="128">
        <v>302.21800000000002</v>
      </c>
      <c r="F42" s="128">
        <v>146.56700000000001</v>
      </c>
      <c r="G42" s="128">
        <v>355.04899999999998</v>
      </c>
      <c r="H42" s="76">
        <v>283.71600000000001</v>
      </c>
      <c r="J42" s="129">
        <f t="shared" si="1"/>
        <v>44593</v>
      </c>
      <c r="K42" s="46">
        <f t="shared" si="5"/>
        <v>0.2481316042267051</v>
      </c>
      <c r="L42" s="46">
        <f t="shared" si="9"/>
        <v>0.41290655653071773</v>
      </c>
      <c r="M42" s="46">
        <f t="shared" si="9"/>
        <v>0.65083966413434635</v>
      </c>
      <c r="N42" s="46">
        <f t="shared" si="10"/>
        <v>0.14780858336498293</v>
      </c>
      <c r="O42" s="46">
        <f t="shared" si="2"/>
        <v>0.16879585326953747</v>
      </c>
      <c r="P42" s="46">
        <f t="shared" si="3"/>
        <v>0.47323236514522815</v>
      </c>
      <c r="Q42" s="46">
        <f t="shared" si="11"/>
        <v>0.1271453089244852</v>
      </c>
    </row>
    <row r="43" spans="1:17" x14ac:dyDescent="0.25">
      <c r="A43" s="129">
        <v>44621</v>
      </c>
      <c r="B43" s="136">
        <v>261.38900000000001</v>
      </c>
      <c r="C43" s="128">
        <v>294.94499999999999</v>
      </c>
      <c r="D43" s="76">
        <v>423.63400000000001</v>
      </c>
      <c r="E43" s="128">
        <v>346.25299999999999</v>
      </c>
      <c r="F43" s="128">
        <v>147.928</v>
      </c>
      <c r="G43" s="128">
        <v>361.02600000000001</v>
      </c>
      <c r="H43" s="76">
        <v>287.50400000000002</v>
      </c>
      <c r="J43" s="129">
        <f t="shared" si="1"/>
        <v>44621</v>
      </c>
      <c r="K43" s="46">
        <f t="shared" si="5"/>
        <v>0.25547070124879934</v>
      </c>
      <c r="L43" s="46">
        <f t="shared" si="9"/>
        <v>0.52268972638100164</v>
      </c>
      <c r="M43" s="46">
        <f t="shared" si="9"/>
        <v>0.69385845661735313</v>
      </c>
      <c r="N43" s="46">
        <f t="shared" si="10"/>
        <v>0.31505127231295088</v>
      </c>
      <c r="O43" s="46">
        <f t="shared" si="2"/>
        <v>0.17964912280701748</v>
      </c>
      <c r="P43" s="46">
        <f t="shared" si="3"/>
        <v>0.49803319502074694</v>
      </c>
      <c r="Q43" s="46">
        <f t="shared" si="11"/>
        <v>0.14219425375031794</v>
      </c>
    </row>
    <row r="44" spans="1:17" x14ac:dyDescent="0.25">
      <c r="A44" s="129">
        <v>44652</v>
      </c>
      <c r="B44" s="136">
        <v>263.09899999999999</v>
      </c>
      <c r="C44" s="128">
        <v>307.04599999999999</v>
      </c>
      <c r="D44" s="76">
        <v>422.18599999999998</v>
      </c>
      <c r="E44" s="128">
        <v>361.92399999999998</v>
      </c>
      <c r="F44" s="128">
        <v>150.21899999999999</v>
      </c>
      <c r="G44" s="128">
        <v>367.46499999999997</v>
      </c>
      <c r="H44" s="76">
        <v>289.10899999999998</v>
      </c>
      <c r="J44" s="129">
        <f t="shared" si="1"/>
        <v>44652</v>
      </c>
      <c r="K44" s="46">
        <f t="shared" si="5"/>
        <v>0.26368395773294911</v>
      </c>
      <c r="L44" s="46">
        <f t="shared" si="9"/>
        <v>0.58516262261228713</v>
      </c>
      <c r="M44" s="46">
        <f t="shared" si="9"/>
        <v>0.68806877249100351</v>
      </c>
      <c r="N44" s="46">
        <f t="shared" si="10"/>
        <v>0.37456893277630066</v>
      </c>
      <c r="O44" s="46">
        <f t="shared" si="2"/>
        <v>0.19791866028708124</v>
      </c>
      <c r="P44" s="46">
        <f t="shared" si="3"/>
        <v>0.52475103734439821</v>
      </c>
      <c r="Q44" s="46">
        <f t="shared" si="11"/>
        <v>0.14857058860920414</v>
      </c>
    </row>
    <row r="45" spans="1:17" x14ac:dyDescent="0.25">
      <c r="A45" s="129">
        <v>44682</v>
      </c>
      <c r="B45" s="128">
        <v>265.09300000000002</v>
      </c>
      <c r="C45" s="128">
        <v>308.435</v>
      </c>
      <c r="D45" s="76">
        <v>433.50400000000002</v>
      </c>
      <c r="E45" s="128">
        <v>357.43400000000003</v>
      </c>
      <c r="F45" s="128">
        <v>153.44999999999999</v>
      </c>
      <c r="G45" s="128">
        <v>372.74200000000002</v>
      </c>
      <c r="H45" s="76">
        <v>292.29599999999999</v>
      </c>
      <c r="J45" s="129">
        <f t="shared" si="1"/>
        <v>44682</v>
      </c>
      <c r="K45" s="46">
        <f t="shared" si="5"/>
        <v>0.27326128722382342</v>
      </c>
      <c r="L45" s="46">
        <f t="shared" si="9"/>
        <v>0.5923335054207538</v>
      </c>
      <c r="M45" s="46">
        <f t="shared" si="9"/>
        <v>0.73332267093162751</v>
      </c>
      <c r="N45" s="46">
        <f t="shared" si="10"/>
        <v>0.35751614128370685</v>
      </c>
      <c r="O45" s="46">
        <f t="shared" si="2"/>
        <v>0.22368421052631565</v>
      </c>
      <c r="P45" s="46">
        <f t="shared" si="3"/>
        <v>0.54664730290456442</v>
      </c>
      <c r="Q45" s="46">
        <f t="shared" si="11"/>
        <v>0.16123188405797104</v>
      </c>
    </row>
    <row r="46" spans="1:17" x14ac:dyDescent="0.25">
      <c r="A46" s="129">
        <v>44713</v>
      </c>
      <c r="B46" s="136">
        <v>274.339</v>
      </c>
      <c r="C46" s="128">
        <v>324.428</v>
      </c>
      <c r="D46" s="76">
        <v>434.553</v>
      </c>
      <c r="E46" s="128">
        <v>384.815</v>
      </c>
      <c r="F46" s="128">
        <v>155.60499999999999</v>
      </c>
      <c r="G46" s="128">
        <v>374.512</v>
      </c>
      <c r="H46" s="76">
        <v>296.31099999999998</v>
      </c>
      <c r="J46" s="129">
        <f t="shared" si="1"/>
        <v>44713</v>
      </c>
      <c r="K46" s="46">
        <f t="shared" si="5"/>
        <v>0.31767050912584061</v>
      </c>
      <c r="L46" s="46">
        <f t="shared" si="9"/>
        <v>0.67489932885906045</v>
      </c>
      <c r="M46" s="46">
        <f t="shared" si="9"/>
        <v>0.73751699320271891</v>
      </c>
      <c r="N46" s="46">
        <f t="shared" si="10"/>
        <v>0.46150778579567026</v>
      </c>
      <c r="O46" s="46">
        <f t="shared" si="2"/>
        <v>0.24086921850079732</v>
      </c>
      <c r="P46" s="46">
        <f t="shared" si="3"/>
        <v>0.55399170124481323</v>
      </c>
      <c r="Q46" s="46">
        <f t="shared" si="11"/>
        <v>0.17718265319094836</v>
      </c>
    </row>
    <row r="47" spans="1:17" x14ac:dyDescent="0.25">
      <c r="A47" s="129">
        <v>44743</v>
      </c>
      <c r="B47" s="136">
        <v>278.18</v>
      </c>
      <c r="C47" s="128">
        <v>332.32900000000001</v>
      </c>
      <c r="D47" s="76">
        <v>439.37299999999999</v>
      </c>
      <c r="E47" s="128">
        <v>393.38400000000001</v>
      </c>
      <c r="F47" s="128">
        <v>159.89599999999999</v>
      </c>
      <c r="G47" s="128">
        <v>372.88600000000002</v>
      </c>
      <c r="H47" s="76">
        <v>296.27600000000001</v>
      </c>
      <c r="J47" s="129">
        <f t="shared" si="1"/>
        <v>44743</v>
      </c>
      <c r="K47" s="46">
        <f t="shared" si="5"/>
        <v>0.33611911623439011</v>
      </c>
      <c r="L47" s="46">
        <f t="shared" si="9"/>
        <v>0.71568921011874043</v>
      </c>
      <c r="M47" s="46">
        <f t="shared" si="9"/>
        <v>0.75678928428628545</v>
      </c>
      <c r="N47" s="46">
        <f t="shared" si="10"/>
        <v>0.49405241169768327</v>
      </c>
      <c r="O47" s="46">
        <f t="shared" si="2"/>
        <v>0.27508771929824544</v>
      </c>
      <c r="P47" s="46">
        <f t="shared" si="3"/>
        <v>0.54724481327800845</v>
      </c>
      <c r="Q47" s="46">
        <f t="shared" si="11"/>
        <v>0.17704360539028741</v>
      </c>
    </row>
    <row r="48" spans="1:17" x14ac:dyDescent="0.25">
      <c r="A48" s="129">
        <v>44774</v>
      </c>
      <c r="B48" s="128">
        <v>286.46600000000001</v>
      </c>
      <c r="C48" s="128">
        <v>332.99099999999999</v>
      </c>
      <c r="D48" s="76">
        <v>442.55900000000003</v>
      </c>
      <c r="E48" s="128">
        <v>394.32</v>
      </c>
      <c r="F48" s="128">
        <v>160.232</v>
      </c>
      <c r="G48" s="128">
        <v>372.27100000000002</v>
      </c>
      <c r="H48" s="76">
        <v>296.17099999999999</v>
      </c>
      <c r="J48" s="129">
        <f t="shared" si="1"/>
        <v>44774</v>
      </c>
      <c r="K48" s="46">
        <f t="shared" si="5"/>
        <v>0.3759173871277619</v>
      </c>
      <c r="L48" s="46">
        <f t="shared" si="9"/>
        <v>0.71910686628807441</v>
      </c>
      <c r="M48" s="46">
        <f t="shared" si="9"/>
        <v>0.76952818872451034</v>
      </c>
      <c r="N48" s="46">
        <f t="shared" si="10"/>
        <v>0.49760729206228627</v>
      </c>
      <c r="O48" s="46">
        <f t="shared" si="2"/>
        <v>0.27776714513556611</v>
      </c>
      <c r="P48" s="46">
        <f t="shared" si="3"/>
        <v>0.54469294605809138</v>
      </c>
      <c r="Q48" s="46">
        <f t="shared" si="11"/>
        <v>0.17662646198830412</v>
      </c>
    </row>
    <row r="49" spans="1:17" x14ac:dyDescent="0.25">
      <c r="A49" s="129">
        <v>44805</v>
      </c>
      <c r="B49" s="136">
        <v>287.291</v>
      </c>
      <c r="C49" s="128">
        <v>332.99099999999999</v>
      </c>
      <c r="D49" s="76">
        <v>442.05599999999998</v>
      </c>
      <c r="E49" s="128">
        <v>403.70299999999997</v>
      </c>
      <c r="F49" s="128">
        <v>160.833</v>
      </c>
      <c r="G49" s="128">
        <v>369.31099999999998</v>
      </c>
      <c r="H49" s="76">
        <v>296.80799999999999</v>
      </c>
      <c r="J49" s="129">
        <f t="shared" si="1"/>
        <v>44805</v>
      </c>
      <c r="K49" s="46">
        <f t="shared" si="5"/>
        <v>0.37987992315081659</v>
      </c>
      <c r="L49" s="46">
        <f t="shared" si="9"/>
        <v>0.71910686628807441</v>
      </c>
      <c r="M49" s="46">
        <f t="shared" si="9"/>
        <v>0.76751699320271893</v>
      </c>
      <c r="N49" s="46">
        <f t="shared" si="10"/>
        <v>0.53324344853778938</v>
      </c>
      <c r="O49" s="46">
        <f t="shared" si="2"/>
        <v>0.28255980861244012</v>
      </c>
      <c r="P49" s="46">
        <f t="shared" si="3"/>
        <v>0.53241078838174261</v>
      </c>
      <c r="Q49" s="46">
        <f t="shared" si="11"/>
        <v>0.17915713196033564</v>
      </c>
    </row>
    <row r="50" spans="1:17" x14ac:dyDescent="0.25">
      <c r="A50" s="129">
        <v>44835</v>
      </c>
      <c r="B50" s="128">
        <v>288.05700000000002</v>
      </c>
      <c r="C50" s="128">
        <v>321.87900000000002</v>
      </c>
      <c r="D50" s="76">
        <v>431.18</v>
      </c>
      <c r="E50" s="128">
        <v>402.51400000000001</v>
      </c>
      <c r="F50" s="128">
        <v>162.55000000000001</v>
      </c>
      <c r="G50" s="128">
        <v>366.80099999999999</v>
      </c>
      <c r="H50" s="76">
        <v>298.012</v>
      </c>
      <c r="J50" s="129">
        <f t="shared" si="1"/>
        <v>44835</v>
      </c>
      <c r="K50" s="46">
        <f t="shared" si="5"/>
        <v>0.38355907780979842</v>
      </c>
      <c r="L50" s="46">
        <f t="shared" si="9"/>
        <v>0.66173980382034092</v>
      </c>
      <c r="M50" s="46">
        <f t="shared" si="9"/>
        <v>0.72403038784486207</v>
      </c>
      <c r="N50" s="46">
        <f t="shared" si="10"/>
        <v>0.52872768704899353</v>
      </c>
      <c r="O50" s="46">
        <f t="shared" si="2"/>
        <v>0.29625199362041471</v>
      </c>
      <c r="P50" s="46">
        <f t="shared" si="3"/>
        <v>0.52199585062240661</v>
      </c>
      <c r="Q50" s="46">
        <f t="shared" si="11"/>
        <v>0.18394037630307658</v>
      </c>
    </row>
    <row r="51" spans="1:17" x14ac:dyDescent="0.25">
      <c r="A51" s="129">
        <v>44866</v>
      </c>
      <c r="B51" s="136">
        <v>289.62700000000001</v>
      </c>
      <c r="C51" s="128">
        <v>324.24299999999999</v>
      </c>
      <c r="D51" s="76">
        <v>493.55799999999999</v>
      </c>
      <c r="E51" s="128">
        <v>404.91899999999998</v>
      </c>
      <c r="F51" s="128">
        <v>162.56200000000001</v>
      </c>
      <c r="G51" s="128">
        <v>363.14</v>
      </c>
      <c r="H51" s="76">
        <v>297.71100000000001</v>
      </c>
      <c r="J51" s="129">
        <f t="shared" si="1"/>
        <v>44866</v>
      </c>
      <c r="K51" s="46">
        <f t="shared" si="5"/>
        <v>0.39109990393852079</v>
      </c>
      <c r="L51" s="46">
        <f t="shared" si="9"/>
        <v>0.67394424367578742</v>
      </c>
      <c r="M51" s="46">
        <f t="shared" si="9"/>
        <v>0.97344262295081974</v>
      </c>
      <c r="N51" s="46">
        <f t="shared" si="10"/>
        <v>0.53786175465248753</v>
      </c>
      <c r="O51" s="46">
        <f t="shared" si="2"/>
        <v>0.29634768740031903</v>
      </c>
      <c r="P51" s="46">
        <f t="shared" si="3"/>
        <v>0.50680497925311196</v>
      </c>
      <c r="Q51" s="46">
        <f t="shared" si="11"/>
        <v>0.18274456521739141</v>
      </c>
    </row>
    <row r="52" spans="1:17" x14ac:dyDescent="0.25">
      <c r="A52" s="129">
        <v>44896</v>
      </c>
      <c r="B52" s="128">
        <v>291.17599999999999</v>
      </c>
      <c r="C52" s="128">
        <v>325.84399999999999</v>
      </c>
      <c r="D52" s="76">
        <v>502.40600000000001</v>
      </c>
      <c r="E52" s="128">
        <v>409.29599999999999</v>
      </c>
      <c r="F52" s="128">
        <v>162.334</v>
      </c>
      <c r="G52" s="128">
        <v>361.24</v>
      </c>
      <c r="H52" s="76">
        <v>296.79700000000003</v>
      </c>
      <c r="J52" s="129">
        <f t="shared" si="1"/>
        <v>44896</v>
      </c>
      <c r="K52" s="46">
        <f t="shared" si="5"/>
        <v>0.39853986551392895</v>
      </c>
      <c r="L52" s="46">
        <f t="shared" si="9"/>
        <v>0.68220960247805895</v>
      </c>
      <c r="M52" s="46">
        <f t="shared" si="9"/>
        <v>1.0088204718112757</v>
      </c>
      <c r="N52" s="46">
        <f t="shared" si="10"/>
        <v>0.5544853778959361</v>
      </c>
      <c r="O52" s="46">
        <f t="shared" si="2"/>
        <v>0.29452950558213714</v>
      </c>
      <c r="P52" s="46">
        <f t="shared" si="3"/>
        <v>0.49892116182572616</v>
      </c>
      <c r="Q52" s="46">
        <f t="shared" si="11"/>
        <v>0.17911343122298515</v>
      </c>
    </row>
    <row r="53" spans="1:17" x14ac:dyDescent="0.25">
      <c r="A53" s="129">
        <v>44927</v>
      </c>
      <c r="B53" s="128">
        <v>291.76400000000001</v>
      </c>
      <c r="C53" s="128">
        <v>329.27600000000001</v>
      </c>
      <c r="D53" s="76">
        <v>498.709</v>
      </c>
      <c r="E53" s="128">
        <v>404.84100000000001</v>
      </c>
      <c r="F53" s="128">
        <v>175.376</v>
      </c>
      <c r="G53" s="128">
        <v>362.05399999999997</v>
      </c>
      <c r="H53" s="76">
        <v>299.17</v>
      </c>
      <c r="J53" s="129">
        <f t="shared" si="1"/>
        <v>44927</v>
      </c>
      <c r="K53" s="46">
        <f t="shared" si="5"/>
        <v>0.40136407300672444</v>
      </c>
      <c r="L53" s="46">
        <f t="shared" si="9"/>
        <v>0.69992772328342812</v>
      </c>
      <c r="M53" s="46">
        <f t="shared" si="9"/>
        <v>0.99403838464614158</v>
      </c>
      <c r="N53" s="46">
        <f t="shared" si="10"/>
        <v>0.537565514622104</v>
      </c>
      <c r="O53" s="46">
        <f t="shared" si="2"/>
        <v>0.39853269537480063</v>
      </c>
      <c r="P53" s="46">
        <f t="shared" si="3"/>
        <v>0.50229875518672185</v>
      </c>
      <c r="Q53" s="46">
        <f t="shared" si="11"/>
        <v>0.18854087210780587</v>
      </c>
    </row>
    <row r="54" spans="1:17" x14ac:dyDescent="0.25">
      <c r="A54" s="129">
        <v>44958</v>
      </c>
      <c r="B54" s="128">
        <v>292.05799999999999</v>
      </c>
      <c r="C54" s="128">
        <v>329.83100000000002</v>
      </c>
      <c r="D54" s="76">
        <v>510.85300000000001</v>
      </c>
      <c r="E54" s="128">
        <v>402.87200000000001</v>
      </c>
      <c r="F54" s="128">
        <v>175.708</v>
      </c>
      <c r="G54" s="128">
        <v>361.88</v>
      </c>
      <c r="H54" s="76">
        <v>300.83999999999997</v>
      </c>
      <c r="J54" s="129">
        <f t="shared" si="1"/>
        <v>44958</v>
      </c>
      <c r="K54" s="46">
        <f t="shared" si="5"/>
        <v>0.40277617675312205</v>
      </c>
      <c r="L54" s="46">
        <f t="shared" si="9"/>
        <v>0.70279297883324743</v>
      </c>
      <c r="M54" s="46">
        <f t="shared" si="9"/>
        <v>1.0425949620151942</v>
      </c>
      <c r="N54" s="46">
        <f t="shared" si="10"/>
        <v>0.53008735282947206</v>
      </c>
      <c r="O54" s="46">
        <f t="shared" si="2"/>
        <v>0.40118022328548636</v>
      </c>
      <c r="P54" s="46">
        <f t="shared" si="3"/>
        <v>0.5015767634854772</v>
      </c>
      <c r="Q54" s="46">
        <f t="shared" si="11"/>
        <v>0.19517543859649117</v>
      </c>
    </row>
    <row r="55" spans="1:17" x14ac:dyDescent="0.25">
      <c r="A55" s="129">
        <v>44986</v>
      </c>
      <c r="B55" s="128">
        <v>292.63799999999998</v>
      </c>
      <c r="C55" s="128">
        <v>332.20800000000003</v>
      </c>
      <c r="D55" s="76">
        <v>509.57799999999997</v>
      </c>
      <c r="E55" s="128">
        <v>414.92899999999997</v>
      </c>
      <c r="F55" s="128">
        <v>175.8</v>
      </c>
      <c r="G55" s="128">
        <v>365.35599999999999</v>
      </c>
      <c r="H55" s="76">
        <v>301.83600000000001</v>
      </c>
      <c r="J55" s="129">
        <f t="shared" si="1"/>
        <v>44986</v>
      </c>
      <c r="K55" s="46">
        <f t="shared" si="5"/>
        <v>0.40556195965417863</v>
      </c>
      <c r="L55" s="46">
        <f t="shared" si="9"/>
        <v>0.71506453278265381</v>
      </c>
      <c r="M55" s="46">
        <f t="shared" si="9"/>
        <v>1.0374970011995199</v>
      </c>
      <c r="N55" s="46">
        <f t="shared" si="10"/>
        <v>0.57587922521838186</v>
      </c>
      <c r="O55" s="46">
        <f t="shared" si="2"/>
        <v>0.40191387559808617</v>
      </c>
      <c r="P55" s="46">
        <f t="shared" si="3"/>
        <v>0.51600000000000001</v>
      </c>
      <c r="Q55" s="46">
        <f t="shared" si="11"/>
        <v>0.19913234172387501</v>
      </c>
    </row>
    <row r="56" spans="1:17" x14ac:dyDescent="0.25">
      <c r="A56" s="129">
        <v>45017</v>
      </c>
      <c r="B56" s="128">
        <v>294.95600000000002</v>
      </c>
      <c r="C56" s="128">
        <v>333.19099999999997</v>
      </c>
      <c r="D56" s="76">
        <v>512.65300000000002</v>
      </c>
      <c r="E56" s="128">
        <v>431.45499999999998</v>
      </c>
      <c r="F56" s="128">
        <v>169.869</v>
      </c>
      <c r="G56" s="128">
        <v>367.37099999999998</v>
      </c>
      <c r="H56" s="76">
        <v>303.363</v>
      </c>
      <c r="J56" s="129">
        <f t="shared" si="1"/>
        <v>45017</v>
      </c>
      <c r="K56" s="46">
        <f t="shared" si="5"/>
        <v>0.41669548511047089</v>
      </c>
      <c r="L56" s="46">
        <f t="shared" si="9"/>
        <v>0.72013939081053169</v>
      </c>
      <c r="M56" s="46">
        <f t="shared" si="9"/>
        <v>1.0497920831667333</v>
      </c>
      <c r="N56" s="46">
        <f t="shared" si="10"/>
        <v>0.63864413216862881</v>
      </c>
      <c r="O56" s="46">
        <f t="shared" si="2"/>
        <v>0.35461722488038272</v>
      </c>
      <c r="P56" s="46">
        <f t="shared" si="3"/>
        <v>0.52436099585062235</v>
      </c>
      <c r="Q56" s="46">
        <f t="shared" si="11"/>
        <v>0.20519879862700233</v>
      </c>
    </row>
    <row r="57" spans="1:17" x14ac:dyDescent="0.25">
      <c r="A57" s="129">
        <v>45047</v>
      </c>
      <c r="B57" s="128">
        <v>295.637</v>
      </c>
      <c r="C57" s="128">
        <v>333.19099999999997</v>
      </c>
      <c r="D57" s="76">
        <v>511.47199999999998</v>
      </c>
      <c r="E57" s="128">
        <v>434.005</v>
      </c>
      <c r="F57" s="128">
        <v>170.02199999999999</v>
      </c>
      <c r="G57" s="128">
        <v>364.50099999999998</v>
      </c>
      <c r="H57" s="76">
        <v>304.12700000000001</v>
      </c>
      <c r="J57" s="129">
        <f t="shared" si="1"/>
        <v>45047</v>
      </c>
      <c r="K57" s="46">
        <f t="shared" si="5"/>
        <v>0.41996637848222873</v>
      </c>
      <c r="L57" s="46">
        <f t="shared" si="9"/>
        <v>0.72013939081053169</v>
      </c>
      <c r="M57" s="46">
        <f t="shared" si="9"/>
        <v>1.0450699720111953</v>
      </c>
      <c r="N57" s="46">
        <f t="shared" si="10"/>
        <v>0.6483289023927078</v>
      </c>
      <c r="O57" s="46">
        <f t="shared" si="2"/>
        <v>0.35583732057416256</v>
      </c>
      <c r="P57" s="46">
        <f t="shared" si="3"/>
        <v>0.51245228215767624</v>
      </c>
      <c r="Q57" s="46">
        <f t="shared" si="11"/>
        <v>0.20823401347571838</v>
      </c>
    </row>
    <row r="58" spans="1:17" x14ac:dyDescent="0.25">
      <c r="A58" s="129">
        <v>45078</v>
      </c>
      <c r="B58" s="128">
        <v>297.96300000000002</v>
      </c>
      <c r="C58" s="128">
        <v>332.28300000000002</v>
      </c>
      <c r="D58" s="76">
        <v>515.13699999999994</v>
      </c>
      <c r="E58" s="128">
        <v>427.09800000000001</v>
      </c>
      <c r="F58" s="128">
        <v>169.76499999999999</v>
      </c>
      <c r="G58" s="128">
        <v>364.88799999999998</v>
      </c>
      <c r="H58" s="76">
        <v>305.10899999999998</v>
      </c>
      <c r="J58" s="129">
        <f t="shared" si="1"/>
        <v>45078</v>
      </c>
      <c r="K58" s="46">
        <f t="shared" si="5"/>
        <v>0.43113832853025957</v>
      </c>
      <c r="L58" s="46">
        <f t="shared" si="9"/>
        <v>0.71545172947857527</v>
      </c>
      <c r="M58" s="46">
        <f t="shared" si="9"/>
        <v>1.0597241103558575</v>
      </c>
      <c r="N58" s="46">
        <f t="shared" si="10"/>
        <v>0.62209646790732998</v>
      </c>
      <c r="O58" s="46">
        <f t="shared" si="2"/>
        <v>0.3537878787878786</v>
      </c>
      <c r="P58" s="46">
        <f t="shared" si="3"/>
        <v>0.51405809128630697</v>
      </c>
      <c r="Q58" s="46">
        <f t="shared" si="11"/>
        <v>0.21213529748283749</v>
      </c>
    </row>
    <row r="59" spans="1:17" x14ac:dyDescent="0.25">
      <c r="A59" s="129">
        <v>45108</v>
      </c>
      <c r="B59" s="128">
        <v>301.00400000000002</v>
      </c>
      <c r="C59" s="128">
        <v>334.15300000000002</v>
      </c>
      <c r="D59" s="76">
        <v>629.98299999999995</v>
      </c>
      <c r="E59" s="128">
        <v>430.911</v>
      </c>
      <c r="F59" s="128">
        <v>167.374</v>
      </c>
      <c r="G59" s="128">
        <v>365.01499999999999</v>
      </c>
      <c r="H59" s="76">
        <v>305.69099999999997</v>
      </c>
      <c r="J59" s="129">
        <f t="shared" si="1"/>
        <v>45108</v>
      </c>
      <c r="K59" s="46">
        <f t="shared" si="5"/>
        <v>0.44574447646493776</v>
      </c>
      <c r="L59" s="46">
        <f t="shared" si="9"/>
        <v>0.72510583376355209</v>
      </c>
      <c r="M59" s="46">
        <f t="shared" si="9"/>
        <v>1.5189244302279086</v>
      </c>
      <c r="N59" s="46">
        <f t="shared" si="10"/>
        <v>0.63657804785415872</v>
      </c>
      <c r="O59" s="46">
        <f t="shared" si="2"/>
        <v>0.3347208931419457</v>
      </c>
      <c r="P59" s="46">
        <f t="shared" si="3"/>
        <v>0.5145850622406638</v>
      </c>
      <c r="Q59" s="46">
        <f t="shared" si="11"/>
        <v>0.21444746376811588</v>
      </c>
    </row>
    <row r="60" spans="1:17" x14ac:dyDescent="0.25">
      <c r="A60" s="129">
        <v>45139</v>
      </c>
      <c r="B60" s="128">
        <v>302.69499999999999</v>
      </c>
      <c r="C60" s="128">
        <v>334.15300000000002</v>
      </c>
      <c r="D60" s="76">
        <v>651.82600000000002</v>
      </c>
      <c r="E60" s="128">
        <v>434.20800000000003</v>
      </c>
      <c r="F60" s="128">
        <v>167.19399999999999</v>
      </c>
      <c r="G60" s="128">
        <v>365.37400000000002</v>
      </c>
      <c r="H60" s="76">
        <v>307.02600000000001</v>
      </c>
      <c r="J60" s="129">
        <f t="shared" si="1"/>
        <v>45139</v>
      </c>
      <c r="K60" s="46">
        <f t="shared" si="5"/>
        <v>0.45386647454370804</v>
      </c>
      <c r="L60" s="46">
        <f t="shared" si="9"/>
        <v>0.72510583376355209</v>
      </c>
      <c r="M60" s="46">
        <f t="shared" si="9"/>
        <v>1.6062614954018393</v>
      </c>
      <c r="N60" s="46">
        <f t="shared" si="10"/>
        <v>0.6490998860615268</v>
      </c>
      <c r="O60" s="46">
        <f t="shared" si="2"/>
        <v>0.33328548644338102</v>
      </c>
      <c r="P60" s="46">
        <f t="shared" si="3"/>
        <v>0.51607468879668061</v>
      </c>
      <c r="Q60" s="46">
        <f t="shared" si="11"/>
        <v>0.21975114416475983</v>
      </c>
    </row>
    <row r="61" spans="1:17" x14ac:dyDescent="0.25">
      <c r="A61" s="129">
        <v>45170</v>
      </c>
      <c r="B61" s="128">
        <v>303.18700000000001</v>
      </c>
      <c r="C61" s="128">
        <v>334.15300000000002</v>
      </c>
      <c r="D61" s="76">
        <v>586.30399999999997</v>
      </c>
      <c r="E61" s="128">
        <v>425.89</v>
      </c>
      <c r="F61" s="128">
        <v>167.351</v>
      </c>
      <c r="G61" s="128">
        <v>365.12799999999999</v>
      </c>
      <c r="H61" s="76">
        <v>307.78899999999999</v>
      </c>
      <c r="J61" s="129">
        <f t="shared" si="1"/>
        <v>45170</v>
      </c>
      <c r="K61" s="46">
        <f t="shared" si="5"/>
        <v>0.45622958693563892</v>
      </c>
      <c r="L61" s="46">
        <f t="shared" si="9"/>
        <v>0.72510583376355209</v>
      </c>
      <c r="M61" s="46">
        <f t="shared" si="9"/>
        <v>1.3442782886845259</v>
      </c>
      <c r="N61" s="46">
        <f t="shared" si="10"/>
        <v>0.61750854538549171</v>
      </c>
      <c r="O61" s="46">
        <f t="shared" si="2"/>
        <v>0.3345374800637958</v>
      </c>
      <c r="P61" s="46">
        <f t="shared" si="3"/>
        <v>0.51505394190871367</v>
      </c>
      <c r="Q61" s="46">
        <f t="shared" si="11"/>
        <v>0.22278238621917112</v>
      </c>
    </row>
    <row r="62" spans="1:17" x14ac:dyDescent="0.25">
      <c r="A62" s="129">
        <v>45200</v>
      </c>
      <c r="B62" s="128">
        <v>305.577</v>
      </c>
      <c r="C62" s="128">
        <v>334.15300000000002</v>
      </c>
      <c r="D62" s="76">
        <v>600.95699999999999</v>
      </c>
      <c r="E62" s="128">
        <v>430.23399999999998</v>
      </c>
      <c r="F62" s="128">
        <v>167.13</v>
      </c>
      <c r="G62" s="128">
        <v>364.505</v>
      </c>
      <c r="H62" s="76">
        <v>307.67099999999999</v>
      </c>
      <c r="J62" s="129">
        <f t="shared" si="1"/>
        <v>45200</v>
      </c>
      <c r="K62" s="46">
        <f t="shared" si="5"/>
        <v>0.46770893371757932</v>
      </c>
      <c r="L62" s="46">
        <f t="shared" si="9"/>
        <v>0.72510583376355209</v>
      </c>
      <c r="M62" s="46">
        <f t="shared" si="9"/>
        <v>1.4028668532586965</v>
      </c>
      <c r="N62" s="46">
        <f t="shared" si="10"/>
        <v>0.63400683630839327</v>
      </c>
      <c r="O62" s="46">
        <f t="shared" si="2"/>
        <v>0.33277511961722478</v>
      </c>
      <c r="P62" s="46">
        <f t="shared" si="3"/>
        <v>0.51246887966804977</v>
      </c>
      <c r="Q62" s="46">
        <f t="shared" si="11"/>
        <v>0.22231359649122809</v>
      </c>
    </row>
    <row r="63" spans="1:17" x14ac:dyDescent="0.25">
      <c r="A63" s="129">
        <v>45231</v>
      </c>
      <c r="B63" s="128">
        <v>309.72800000000001</v>
      </c>
      <c r="C63" s="128">
        <v>334.15300000000002</v>
      </c>
      <c r="D63" s="76">
        <v>608.19500000000005</v>
      </c>
      <c r="E63" s="128">
        <v>429.24099999999999</v>
      </c>
      <c r="F63" s="128">
        <v>166.91399999999999</v>
      </c>
      <c r="G63" s="128">
        <v>364.87400000000002</v>
      </c>
      <c r="H63" s="76">
        <v>307.05099999999999</v>
      </c>
      <c r="J63" s="129">
        <f t="shared" si="1"/>
        <v>45231</v>
      </c>
      <c r="K63" s="46">
        <f t="shared" si="5"/>
        <v>0.48764649375600394</v>
      </c>
      <c r="L63" s="46">
        <f t="shared" si="9"/>
        <v>0.72510583376355209</v>
      </c>
      <c r="M63" s="46">
        <f t="shared" si="9"/>
        <v>1.4318072770891646</v>
      </c>
      <c r="N63" s="46">
        <f t="shared" si="10"/>
        <v>0.63023547284466375</v>
      </c>
      <c r="O63" s="46">
        <f t="shared" si="2"/>
        <v>0.33105263157894721</v>
      </c>
      <c r="P63" s="46">
        <f t="shared" si="3"/>
        <v>0.51400000000000012</v>
      </c>
      <c r="Q63" s="46">
        <f t="shared" si="11"/>
        <v>0.21985046402237479</v>
      </c>
    </row>
    <row r="64" spans="1:17" x14ac:dyDescent="0.25">
      <c r="A64" s="129">
        <v>45261</v>
      </c>
      <c r="B64" s="128">
        <v>310.44299999999998</v>
      </c>
      <c r="C64" s="128">
        <v>340.54700000000003</v>
      </c>
      <c r="D64" s="76">
        <v>599.75</v>
      </c>
      <c r="E64" s="128">
        <v>436.197</v>
      </c>
      <c r="F64" s="128">
        <v>166.97800000000001</v>
      </c>
      <c r="G64" s="128">
        <v>368.81400000000002</v>
      </c>
      <c r="H64" s="76">
        <v>306.74599999999998</v>
      </c>
      <c r="J64" s="129">
        <f t="shared" si="1"/>
        <v>45261</v>
      </c>
      <c r="K64" s="46">
        <f t="shared" si="5"/>
        <v>0.49108069164265128</v>
      </c>
      <c r="L64" s="46">
        <f t="shared" si="9"/>
        <v>0.75811564274651544</v>
      </c>
      <c r="M64" s="46">
        <f t="shared" si="9"/>
        <v>1.3980407836865254</v>
      </c>
      <c r="N64" s="46">
        <f t="shared" si="10"/>
        <v>0.65665400683630837</v>
      </c>
      <c r="O64" s="46">
        <f t="shared" si="2"/>
        <v>0.33156299840510367</v>
      </c>
      <c r="P64" s="46">
        <f t="shared" si="3"/>
        <v>0.53034854771784246</v>
      </c>
      <c r="Q64" s="46">
        <f t="shared" si="11"/>
        <v>0.21863876175947111</v>
      </c>
    </row>
    <row r="65" spans="1:17" x14ac:dyDescent="0.25">
      <c r="A65" s="129">
        <v>45292</v>
      </c>
      <c r="B65" s="128">
        <v>311.94600000000003</v>
      </c>
      <c r="C65" s="128">
        <v>343.22899999999998</v>
      </c>
      <c r="D65" s="76">
        <v>599.30200000000002</v>
      </c>
      <c r="E65" s="128">
        <v>433.755</v>
      </c>
      <c r="F65" s="128">
        <v>166.53800000000001</v>
      </c>
      <c r="G65" s="128">
        <v>371.166</v>
      </c>
      <c r="H65" s="76">
        <v>308.41699999999997</v>
      </c>
      <c r="J65" s="129">
        <f t="shared" si="1"/>
        <v>45292</v>
      </c>
      <c r="K65" s="46">
        <f t="shared" si="5"/>
        <v>0.49829971181556215</v>
      </c>
      <c r="L65" s="46">
        <f t="shared" si="9"/>
        <v>0.77196179659266906</v>
      </c>
      <c r="M65" s="46">
        <f t="shared" si="9"/>
        <v>1.39624950019992</v>
      </c>
      <c r="N65" s="46">
        <f t="shared" si="10"/>
        <v>0.64737941511583741</v>
      </c>
      <c r="O65" s="46">
        <f t="shared" si="2"/>
        <v>0.32805422647527915</v>
      </c>
      <c r="P65" s="46">
        <f t="shared" si="3"/>
        <v>0.54010788381742736</v>
      </c>
      <c r="Q65" s="46">
        <f t="shared" si="11"/>
        <v>0.22527730104246116</v>
      </c>
    </row>
    <row r="66" spans="1:17" x14ac:dyDescent="0.25">
      <c r="A66" s="129">
        <v>45323</v>
      </c>
      <c r="B66" s="128">
        <v>313.99799999999999</v>
      </c>
      <c r="C66" s="128">
        <v>343.22899999999998</v>
      </c>
      <c r="D66" s="76">
        <v>602.96699999999998</v>
      </c>
      <c r="E66" s="128">
        <v>432.21499999999997</v>
      </c>
      <c r="F66" s="128">
        <v>166.74</v>
      </c>
      <c r="G66" s="128">
        <v>370.47300000000001</v>
      </c>
      <c r="H66" s="76">
        <v>310.32600000000002</v>
      </c>
      <c r="J66" s="129">
        <f t="shared" si="1"/>
        <v>45323</v>
      </c>
      <c r="K66" s="46">
        <f t="shared" si="5"/>
        <v>0.50815561959654187</v>
      </c>
      <c r="L66" s="46">
        <f t="shared" si="9"/>
        <v>0.77196179659266906</v>
      </c>
      <c r="M66" s="46">
        <f t="shared" si="9"/>
        <v>1.4109036385445821</v>
      </c>
      <c r="N66" s="46">
        <f t="shared" si="10"/>
        <v>0.64153057349031506</v>
      </c>
      <c r="O66" s="46">
        <f t="shared" si="2"/>
        <v>0.32966507177033494</v>
      </c>
      <c r="P66" s="46">
        <f t="shared" si="3"/>
        <v>0.53723236514522832</v>
      </c>
      <c r="Q66" s="46">
        <f t="shared" si="11"/>
        <v>0.23286136536994675</v>
      </c>
    </row>
    <row r="67" spans="1:17" ht="13.5" customHeight="1" x14ac:dyDescent="0.25">
      <c r="A67" s="129">
        <v>45352</v>
      </c>
      <c r="B67" s="137">
        <v>316.96499999999997</v>
      </c>
      <c r="C67" s="137">
        <v>343.22899999999998</v>
      </c>
      <c r="D67" s="141">
        <v>592.91800000000001</v>
      </c>
      <c r="E67" s="137">
        <v>432.38200000000001</v>
      </c>
      <c r="F67" s="137">
        <v>166.72499999999999</v>
      </c>
      <c r="G67" s="137">
        <v>361.173</v>
      </c>
      <c r="H67" s="141">
        <v>312.33199999999999</v>
      </c>
      <c r="J67" s="129">
        <f t="shared" si="1"/>
        <v>45352</v>
      </c>
      <c r="K67" s="46">
        <f t="shared" si="5"/>
        <v>0.52240634005763686</v>
      </c>
      <c r="L67" s="46">
        <f t="shared" si="9"/>
        <v>0.77196179659266906</v>
      </c>
      <c r="M67" s="46">
        <f t="shared" si="9"/>
        <v>1.3707237105157937</v>
      </c>
      <c r="N67" s="46">
        <f t="shared" si="10"/>
        <v>0.64216483099126465</v>
      </c>
      <c r="O67" s="46">
        <f t="shared" si="2"/>
        <v>0.32954545454545442</v>
      </c>
      <c r="P67" s="46">
        <f t="shared" si="3"/>
        <v>0.49864315352697097</v>
      </c>
      <c r="Q67" s="46">
        <f t="shared" si="11"/>
        <v>0.24083079074497843</v>
      </c>
    </row>
    <row r="68" spans="1:17" x14ac:dyDescent="0.25">
      <c r="A68" s="129">
        <v>45383</v>
      </c>
      <c r="B68" s="128">
        <v>317.60599999999999</v>
      </c>
      <c r="C68" s="128">
        <v>339.14</v>
      </c>
      <c r="D68" s="76">
        <v>594.30200000000002</v>
      </c>
      <c r="E68" s="128">
        <v>433.87099999999998</v>
      </c>
      <c r="F68" s="128">
        <v>168.70699999999999</v>
      </c>
      <c r="G68" s="128">
        <v>361.488</v>
      </c>
      <c r="H68" s="76">
        <v>313.548</v>
      </c>
      <c r="J68" s="129">
        <f t="shared" si="1"/>
        <v>45383</v>
      </c>
      <c r="K68" s="46">
        <f t="shared" si="5"/>
        <v>0.52548511047070134</v>
      </c>
      <c r="L68" s="46">
        <f t="shared" si="9"/>
        <v>0.7508518327310274</v>
      </c>
      <c r="M68" s="46">
        <f t="shared" si="9"/>
        <v>1.3762574970011996</v>
      </c>
      <c r="N68" s="46">
        <f t="shared" si="10"/>
        <v>0.64781997721230522</v>
      </c>
      <c r="O68" s="46">
        <f t="shared" si="2"/>
        <v>0.34535087719298235</v>
      </c>
      <c r="P68" s="46">
        <f t="shared" si="3"/>
        <v>0.49995020746887969</v>
      </c>
      <c r="Q68" s="46">
        <f t="shared" si="11"/>
        <v>0.24566170861937459</v>
      </c>
    </row>
    <row r="69" spans="1:17" x14ac:dyDescent="0.25">
      <c r="A69" s="129">
        <v>45413</v>
      </c>
      <c r="B69" s="128">
        <v>320.52999999999997</v>
      </c>
      <c r="C69" s="128">
        <v>339.14</v>
      </c>
      <c r="D69" s="76">
        <v>605.54300000000001</v>
      </c>
      <c r="E69" s="128">
        <v>430.71600000000001</v>
      </c>
      <c r="F69" s="128">
        <v>168.69800000000001</v>
      </c>
      <c r="G69" s="128">
        <v>362.68900000000002</v>
      </c>
      <c r="H69" s="76">
        <v>314.06900000000002</v>
      </c>
      <c r="J69" s="129">
        <f t="shared" si="1"/>
        <v>45413</v>
      </c>
      <c r="K69" s="46">
        <f t="shared" si="5"/>
        <v>0.5395292987512007</v>
      </c>
      <c r="L69" s="46">
        <f t="shared" si="9"/>
        <v>0.7508518327310274</v>
      </c>
      <c r="M69" s="46">
        <f t="shared" si="9"/>
        <v>1.4212035185925629</v>
      </c>
      <c r="N69" s="46">
        <f t="shared" si="10"/>
        <v>0.63583744777819973</v>
      </c>
      <c r="O69" s="46">
        <f t="shared" si="2"/>
        <v>0.34527910685805424</v>
      </c>
      <c r="P69" s="46">
        <f t="shared" si="3"/>
        <v>0.50493360995850634</v>
      </c>
      <c r="Q69" s="46">
        <f t="shared" si="11"/>
        <v>0.24773153445207233</v>
      </c>
    </row>
    <row r="70" spans="1:17" x14ac:dyDescent="0.25">
      <c r="A70" s="129">
        <v>45444</v>
      </c>
      <c r="B70" s="128">
        <v>326.51</v>
      </c>
      <c r="C70" s="128">
        <v>341.625</v>
      </c>
      <c r="D70" s="76">
        <v>611.404</v>
      </c>
      <c r="E70" s="128">
        <v>430.47800000000001</v>
      </c>
      <c r="F70" s="128">
        <v>168.79</v>
      </c>
      <c r="G70" s="128">
        <v>361.63499999999999</v>
      </c>
      <c r="H70" s="76">
        <v>314.17500000000001</v>
      </c>
      <c r="J70" s="129">
        <f t="shared" ref="J70:J88" si="12">A70</f>
        <v>45444</v>
      </c>
      <c r="K70" s="46">
        <f t="shared" si="5"/>
        <v>0.56825168107588864</v>
      </c>
      <c r="L70" s="46">
        <f t="shared" si="9"/>
        <v>0.76368094992256075</v>
      </c>
      <c r="M70" s="46">
        <f t="shared" si="9"/>
        <v>1.4446381447421031</v>
      </c>
      <c r="N70" s="46">
        <f t="shared" si="10"/>
        <v>0.63493353589061907</v>
      </c>
      <c r="O70" s="46">
        <f t="shared" ref="O70:O88" si="13">(F70-F$5)/F$5</f>
        <v>0.34601275917065377</v>
      </c>
      <c r="P70" s="46">
        <f t="shared" ref="P70:P88" si="14">(G70-G$5)/G$5</f>
        <v>0.50056016597510367</v>
      </c>
      <c r="Q70" s="46">
        <f t="shared" si="11"/>
        <v>0.24815265064836012</v>
      </c>
    </row>
    <row r="71" spans="1:17" x14ac:dyDescent="0.25">
      <c r="A71" s="129">
        <v>45474</v>
      </c>
      <c r="B71" s="128">
        <v>328.51499999999999</v>
      </c>
      <c r="C71" s="128">
        <v>342.04700000000003</v>
      </c>
      <c r="D71" s="76">
        <v>611.66</v>
      </c>
      <c r="E71" s="128">
        <v>432.45400000000001</v>
      </c>
      <c r="F71" s="128">
        <v>170.83</v>
      </c>
      <c r="G71" s="128">
        <v>361.87900000000002</v>
      </c>
      <c r="H71" s="76">
        <v>314.54000000000002</v>
      </c>
      <c r="J71" s="129">
        <f t="shared" si="12"/>
        <v>45474</v>
      </c>
      <c r="K71" s="46">
        <f t="shared" ref="K71:K85" si="15">(B71-B$5)/B$5</f>
        <v>0.57788184438040346</v>
      </c>
      <c r="L71" s="46">
        <f t="shared" si="9"/>
        <v>0.76585957666494597</v>
      </c>
      <c r="M71" s="46">
        <f t="shared" si="9"/>
        <v>1.4456617353058774</v>
      </c>
      <c r="N71" s="46">
        <f t="shared" si="10"/>
        <v>0.64243828332700337</v>
      </c>
      <c r="O71" s="46">
        <f t="shared" si="13"/>
        <v>0.36228070175438598</v>
      </c>
      <c r="P71" s="46">
        <f t="shared" si="14"/>
        <v>0.5015726141078839</v>
      </c>
      <c r="Q71" s="46">
        <f t="shared" si="11"/>
        <v>0.24960272056953992</v>
      </c>
    </row>
    <row r="72" spans="1:17" x14ac:dyDescent="0.25">
      <c r="A72" s="129">
        <v>45505</v>
      </c>
      <c r="B72" s="128">
        <v>327.14800000000002</v>
      </c>
      <c r="C72" s="128">
        <v>342.04700000000003</v>
      </c>
      <c r="D72" s="76">
        <v>617.12</v>
      </c>
      <c r="E72" s="128">
        <v>431.89100000000002</v>
      </c>
      <c r="F72" s="128">
        <v>170.892</v>
      </c>
      <c r="G72" s="128">
        <v>365.209</v>
      </c>
      <c r="H72" s="76">
        <v>314.79599999999999</v>
      </c>
      <c r="J72" s="129">
        <f t="shared" si="12"/>
        <v>45505</v>
      </c>
      <c r="K72" s="46">
        <f t="shared" si="15"/>
        <v>0.57131604226705113</v>
      </c>
      <c r="L72" s="46">
        <f t="shared" si="9"/>
        <v>0.76585957666494597</v>
      </c>
      <c r="M72" s="46">
        <f t="shared" si="9"/>
        <v>1.4674930027988804</v>
      </c>
      <c r="N72" s="46">
        <f t="shared" si="10"/>
        <v>0.64030003797949109</v>
      </c>
      <c r="O72" s="46">
        <f t="shared" si="13"/>
        <v>0.36277511961722481</v>
      </c>
      <c r="P72" s="46">
        <f t="shared" si="14"/>
        <v>0.51539004149377599</v>
      </c>
      <c r="Q72" s="46">
        <f t="shared" si="11"/>
        <v>0.25061975591151797</v>
      </c>
    </row>
    <row r="73" spans="1:17" x14ac:dyDescent="0.25">
      <c r="A73" s="129">
        <v>45536</v>
      </c>
      <c r="B73" s="128">
        <v>326.82299999999998</v>
      </c>
      <c r="C73" s="128">
        <v>342.04700000000003</v>
      </c>
      <c r="D73" s="76">
        <v>612.00400000000002</v>
      </c>
      <c r="E73" s="128">
        <v>430.90100000000001</v>
      </c>
      <c r="F73" s="128">
        <v>170.935</v>
      </c>
      <c r="G73" s="128">
        <v>364.21699999999998</v>
      </c>
      <c r="H73" s="76">
        <v>315.30099999999999</v>
      </c>
      <c r="J73" s="129">
        <f t="shared" si="12"/>
        <v>45536</v>
      </c>
      <c r="K73" s="46">
        <f t="shared" si="15"/>
        <v>0.56975504322766568</v>
      </c>
      <c r="L73" s="46">
        <f t="shared" si="9"/>
        <v>0.76585957666494597</v>
      </c>
      <c r="M73" s="46">
        <f t="shared" si="9"/>
        <v>1.4470371851259496</v>
      </c>
      <c r="N73" s="46">
        <f t="shared" si="10"/>
        <v>0.63654006836308386</v>
      </c>
      <c r="O73" s="46">
        <f t="shared" si="13"/>
        <v>0.36311802232854862</v>
      </c>
      <c r="P73" s="46">
        <f t="shared" si="14"/>
        <v>0.51127385892116173</v>
      </c>
      <c r="Q73" s="46">
        <f t="shared" si="11"/>
        <v>0.25262601703534199</v>
      </c>
    </row>
    <row r="74" spans="1:17" x14ac:dyDescent="0.25">
      <c r="A74" s="129">
        <v>45566</v>
      </c>
      <c r="B74" s="128">
        <v>326.08699999999999</v>
      </c>
      <c r="C74" s="128">
        <v>344.83100000000002</v>
      </c>
      <c r="D74" s="76">
        <v>610.721</v>
      </c>
      <c r="E74" s="128">
        <v>429.75400000000002</v>
      </c>
      <c r="F74" s="128">
        <v>170.65899999999999</v>
      </c>
      <c r="G74" s="128">
        <v>364.74799999999999</v>
      </c>
      <c r="H74" s="76">
        <v>315.66399999999999</v>
      </c>
      <c r="J74" s="129">
        <f t="shared" si="12"/>
        <v>45566</v>
      </c>
      <c r="K74" s="46">
        <f t="shared" si="15"/>
        <v>0.56621998078770419</v>
      </c>
      <c r="L74" s="46">
        <f t="shared" si="9"/>
        <v>0.78023231801755311</v>
      </c>
      <c r="M74" s="46">
        <f t="shared" si="9"/>
        <v>1.441907237105158</v>
      </c>
      <c r="N74" s="46">
        <f t="shared" si="10"/>
        <v>0.63218382073680213</v>
      </c>
      <c r="O74" s="46">
        <f t="shared" si="13"/>
        <v>0.36091706539074947</v>
      </c>
      <c r="P74" s="46">
        <f t="shared" si="14"/>
        <v>0.51347717842323648</v>
      </c>
      <c r="Q74" s="46">
        <f t="shared" si="11"/>
        <v>0.25406814136791256</v>
      </c>
    </row>
    <row r="75" spans="1:17" x14ac:dyDescent="0.25">
      <c r="A75" s="129">
        <v>45597</v>
      </c>
      <c r="B75" s="128">
        <v>326.065</v>
      </c>
      <c r="C75" s="128">
        <v>344.83100000000002</v>
      </c>
      <c r="D75" s="76">
        <v>609.25599999999997</v>
      </c>
      <c r="E75" s="128">
        <v>424.83499999999998</v>
      </c>
      <c r="F75" s="128">
        <v>170.511</v>
      </c>
      <c r="G75" s="128">
        <v>364.92500000000001</v>
      </c>
      <c r="H75" s="76">
        <v>315.49299999999999</v>
      </c>
      <c r="J75" s="129">
        <f t="shared" si="12"/>
        <v>45597</v>
      </c>
      <c r="K75" s="46">
        <f t="shared" si="15"/>
        <v>0.56611431316042271</v>
      </c>
      <c r="L75" s="46">
        <f t="shared" si="9"/>
        <v>0.78023231801755311</v>
      </c>
      <c r="M75" s="46">
        <f t="shared" si="9"/>
        <v>1.4360495801679327</v>
      </c>
      <c r="N75" s="46">
        <f t="shared" si="10"/>
        <v>0.61350170907709822</v>
      </c>
      <c r="O75" s="46">
        <f t="shared" si="13"/>
        <v>0.35973684210526308</v>
      </c>
      <c r="P75" s="46">
        <f t="shared" si="14"/>
        <v>0.51421161825726147</v>
      </c>
      <c r="Q75" s="46">
        <f t="shared" si="11"/>
        <v>0.25338879354182559</v>
      </c>
    </row>
    <row r="76" spans="1:17" x14ac:dyDescent="0.25">
      <c r="A76" s="129">
        <v>45627</v>
      </c>
      <c r="B76" s="128">
        <v>329.584</v>
      </c>
      <c r="C76" s="128">
        <v>344.83100000000002</v>
      </c>
      <c r="D76" s="76">
        <v>606.38499999999999</v>
      </c>
      <c r="E76" s="128">
        <v>426.99400000000003</v>
      </c>
      <c r="F76" s="128">
        <v>170.64</v>
      </c>
      <c r="G76" s="128">
        <v>364.75599999999997</v>
      </c>
      <c r="H76" s="76">
        <v>315.60500000000002</v>
      </c>
      <c r="J76" s="129">
        <f t="shared" si="12"/>
        <v>45627</v>
      </c>
      <c r="K76" s="46">
        <f t="shared" si="15"/>
        <v>0.58301633045148904</v>
      </c>
      <c r="L76" s="46">
        <f t="shared" si="9"/>
        <v>0.78023231801755311</v>
      </c>
      <c r="M76" s="46">
        <f t="shared" si="9"/>
        <v>1.4245701719312274</v>
      </c>
      <c r="N76" s="46">
        <f t="shared" si="10"/>
        <v>0.62170148120015201</v>
      </c>
      <c r="O76" s="46">
        <f t="shared" si="13"/>
        <v>0.36076555023923429</v>
      </c>
      <c r="P76" s="46">
        <f t="shared" si="14"/>
        <v>0.51351037344398331</v>
      </c>
      <c r="Q76" s="46">
        <f t="shared" si="11"/>
        <v>0.25383374650394114</v>
      </c>
    </row>
    <row r="77" spans="1:17" x14ac:dyDescent="0.25">
      <c r="A77" s="129">
        <v>45658</v>
      </c>
      <c r="B77" s="128">
        <v>329.64100000000002</v>
      </c>
      <c r="C77" s="128">
        <v>345.28</v>
      </c>
      <c r="D77" s="76">
        <v>607.779</v>
      </c>
      <c r="E77" s="128">
        <v>430.47500000000002</v>
      </c>
      <c r="F77" s="128">
        <v>171.14099999999999</v>
      </c>
      <c r="G77" s="128">
        <v>365.43099999999998</v>
      </c>
      <c r="H77" s="76">
        <v>317.67099999999999</v>
      </c>
      <c r="J77" s="129">
        <f t="shared" si="12"/>
        <v>45658</v>
      </c>
      <c r="K77" s="46">
        <f t="shared" si="15"/>
        <v>0.58329010566762751</v>
      </c>
      <c r="L77" s="46">
        <f t="shared" si="9"/>
        <v>0.78255033557046971</v>
      </c>
      <c r="M77" s="46">
        <f t="shared" si="9"/>
        <v>1.4301439424230307</v>
      </c>
      <c r="N77" s="46">
        <f t="shared" si="10"/>
        <v>0.63492214204329667</v>
      </c>
      <c r="O77" s="46">
        <f t="shared" si="13"/>
        <v>0.36476076555023912</v>
      </c>
      <c r="P77" s="46">
        <f t="shared" si="14"/>
        <v>0.51631120331950198</v>
      </c>
      <c r="Q77" s="46">
        <f t="shared" si="11"/>
        <v>0.26204153953724896</v>
      </c>
    </row>
    <row r="78" spans="1:17" x14ac:dyDescent="0.25">
      <c r="A78" s="129">
        <v>45689</v>
      </c>
      <c r="B78" s="128">
        <v>329.04</v>
      </c>
      <c r="C78" s="128">
        <v>345.28</v>
      </c>
      <c r="D78" s="76">
        <v>606.59900000000005</v>
      </c>
      <c r="E78" s="128">
        <v>414.84800000000001</v>
      </c>
      <c r="F78" s="128">
        <v>171.06399999999999</v>
      </c>
      <c r="G78" s="128">
        <v>368.20600000000002</v>
      </c>
      <c r="H78" s="76">
        <v>319.08199999999999</v>
      </c>
      <c r="J78" s="129">
        <f t="shared" si="12"/>
        <v>45689</v>
      </c>
      <c r="K78" s="46">
        <f t="shared" si="15"/>
        <v>0.58040345821325667</v>
      </c>
      <c r="L78" s="46">
        <f t="shared" si="9"/>
        <v>0.78255033557046971</v>
      </c>
      <c r="M78" s="46">
        <f t="shared" si="9"/>
        <v>1.4254258296681328</v>
      </c>
      <c r="N78" s="46">
        <f t="shared" si="10"/>
        <v>0.57557159134067604</v>
      </c>
      <c r="O78" s="46">
        <f t="shared" si="13"/>
        <v>0.36414673046251983</v>
      </c>
      <c r="P78" s="46">
        <f t="shared" si="14"/>
        <v>0.52782572614107892</v>
      </c>
      <c r="Q78" s="46">
        <f t="shared" si="11"/>
        <v>0.26764715230104247</v>
      </c>
    </row>
    <row r="79" spans="1:17" x14ac:dyDescent="0.25">
      <c r="A79" s="129">
        <v>45717</v>
      </c>
      <c r="B79" s="128">
        <v>331.69400000000002</v>
      </c>
      <c r="C79" s="128">
        <v>349.185</v>
      </c>
      <c r="D79" s="76">
        <v>615.50900000000001</v>
      </c>
      <c r="E79" s="128">
        <v>403.68599999999998</v>
      </c>
      <c r="F79" s="128">
        <v>171.274</v>
      </c>
      <c r="G79" s="128">
        <v>376.61399999999998</v>
      </c>
      <c r="H79" s="76">
        <v>319.79899999999998</v>
      </c>
      <c r="J79" s="129">
        <f t="shared" si="12"/>
        <v>45717</v>
      </c>
      <c r="K79" s="46">
        <f t="shared" si="15"/>
        <v>0.59315081652257462</v>
      </c>
      <c r="L79" s="46">
        <f t="shared" si="9"/>
        <v>0.80271037687145086</v>
      </c>
      <c r="M79" s="46">
        <f t="shared" si="9"/>
        <v>1.4610515793682528</v>
      </c>
      <c r="N79" s="46">
        <f t="shared" si="10"/>
        <v>0.53317888340296227</v>
      </c>
      <c r="O79" s="46">
        <f t="shared" si="13"/>
        <v>0.36582137161084521</v>
      </c>
      <c r="P79" s="46">
        <f t="shared" si="14"/>
        <v>0.562713692946058</v>
      </c>
      <c r="Q79" s="46">
        <f t="shared" si="11"/>
        <v>0.27049564581744212</v>
      </c>
    </row>
    <row r="80" spans="1:17" x14ac:dyDescent="0.25">
      <c r="A80" s="129">
        <v>45748</v>
      </c>
      <c r="B80" s="128">
        <v>345.78300000000002</v>
      </c>
      <c r="C80" s="128">
        <v>350.53199999999998</v>
      </c>
      <c r="D80" s="76">
        <v>663.31200000000001</v>
      </c>
      <c r="E80" s="128">
        <v>399.45499999999998</v>
      </c>
      <c r="F80" s="128">
        <v>171.75200000000001</v>
      </c>
      <c r="G80" s="128">
        <v>378.87799999999999</v>
      </c>
      <c r="H80" s="76">
        <v>320.79500000000002</v>
      </c>
      <c r="J80" s="129">
        <f t="shared" si="12"/>
        <v>45748</v>
      </c>
      <c r="K80" s="46">
        <f t="shared" si="15"/>
        <v>0.66082132564841511</v>
      </c>
      <c r="L80" s="46">
        <f t="shared" si="9"/>
        <v>0.80966442953020135</v>
      </c>
      <c r="M80" s="46">
        <f t="shared" si="9"/>
        <v>1.65218712514994</v>
      </c>
      <c r="N80" s="46">
        <f t="shared" si="10"/>
        <v>0.51710976072920611</v>
      </c>
      <c r="O80" s="46">
        <f t="shared" si="13"/>
        <v>0.36963317384370015</v>
      </c>
      <c r="P80" s="46">
        <f t="shared" si="14"/>
        <v>0.57210788381742728</v>
      </c>
      <c r="Q80" s="46">
        <f t="shared" si="11"/>
        <v>0.27445254894482596</v>
      </c>
    </row>
    <row r="81" spans="1:17" x14ac:dyDescent="0.25">
      <c r="A81" s="129">
        <v>45778</v>
      </c>
      <c r="B81" s="128">
        <v>353.32499999999999</v>
      </c>
      <c r="C81" s="128">
        <v>350.53199999999998</v>
      </c>
      <c r="D81" s="76">
        <v>667.29700000000003</v>
      </c>
      <c r="E81" s="128">
        <v>395.27199999999999</v>
      </c>
      <c r="F81" s="128">
        <v>171.68</v>
      </c>
      <c r="G81" s="128">
        <v>381.62</v>
      </c>
      <c r="H81" s="76">
        <v>321.46499999999997</v>
      </c>
      <c r="J81" s="129">
        <f t="shared" si="12"/>
        <v>45778</v>
      </c>
      <c r="K81" s="46">
        <f t="shared" si="15"/>
        <v>0.6970461095100865</v>
      </c>
      <c r="L81" s="46">
        <f t="shared" si="9"/>
        <v>0.80966442953020135</v>
      </c>
      <c r="M81" s="46">
        <f t="shared" si="9"/>
        <v>1.6681207516993204</v>
      </c>
      <c r="N81" s="46">
        <f t="shared" si="10"/>
        <v>0.50122293961260911</v>
      </c>
      <c r="O81" s="46">
        <f t="shared" si="13"/>
        <v>0.36905901116427431</v>
      </c>
      <c r="P81" s="46">
        <f t="shared" si="14"/>
        <v>0.58348547717842325</v>
      </c>
      <c r="Q81" s="46">
        <f t="shared" si="11"/>
        <v>0.27711432112890916</v>
      </c>
    </row>
    <row r="82" spans="1:17" x14ac:dyDescent="0.25">
      <c r="A82" s="129">
        <v>45809</v>
      </c>
      <c r="B82" s="128">
        <v>357.30700000000002</v>
      </c>
      <c r="C82" s="128">
        <v>350.53199999999998</v>
      </c>
      <c r="D82" s="76">
        <v>665.61599999999999</v>
      </c>
      <c r="E82" s="128">
        <v>392.67899999999997</v>
      </c>
      <c r="F82" s="128">
        <v>171.75700000000001</v>
      </c>
      <c r="G82" s="128">
        <v>384.92700000000002</v>
      </c>
      <c r="H82" s="76">
        <v>322.56099999999998</v>
      </c>
      <c r="J82" s="129">
        <f t="shared" si="12"/>
        <v>45809</v>
      </c>
      <c r="K82" s="46">
        <f t="shared" si="15"/>
        <v>0.71617195004803091</v>
      </c>
      <c r="L82" s="46">
        <f t="shared" si="9"/>
        <v>0.80966442953020135</v>
      </c>
      <c r="M82" s="46">
        <f t="shared" si="9"/>
        <v>1.6613994402239103</v>
      </c>
      <c r="N82" s="46">
        <f t="shared" si="10"/>
        <v>0.4913748575769083</v>
      </c>
      <c r="O82" s="46">
        <f t="shared" si="13"/>
        <v>0.3696730462519936</v>
      </c>
      <c r="P82" s="46">
        <f t="shared" si="14"/>
        <v>0.59720746887966814</v>
      </c>
      <c r="Q82" s="46">
        <f t="shared" si="11"/>
        <v>0.28146850368675308</v>
      </c>
    </row>
    <row r="83" spans="1:17" x14ac:dyDescent="0.25">
      <c r="A83" s="129">
        <v>45839</v>
      </c>
      <c r="B83" s="128">
        <v>363.72500000000002</v>
      </c>
      <c r="C83" s="128">
        <v>351.19200000000001</v>
      </c>
      <c r="D83" s="76">
        <v>673.26400000000001</v>
      </c>
      <c r="E83" s="128">
        <v>393.608</v>
      </c>
      <c r="F83" s="128">
        <v>171.62700000000001</v>
      </c>
      <c r="G83" s="128">
        <v>385.04500000000002</v>
      </c>
      <c r="H83" s="76">
        <v>323.048</v>
      </c>
      <c r="J83" s="129">
        <f t="shared" si="12"/>
        <v>45839</v>
      </c>
      <c r="K83" s="46">
        <f t="shared" si="15"/>
        <v>0.74699807877041324</v>
      </c>
      <c r="L83" s="46">
        <f t="shared" si="9"/>
        <v>0.81307176045431095</v>
      </c>
      <c r="M83" s="46">
        <f t="shared" si="9"/>
        <v>1.6919792083166734</v>
      </c>
      <c r="N83" s="46">
        <f t="shared" si="10"/>
        <v>0.49490315229775916</v>
      </c>
      <c r="O83" s="46">
        <f t="shared" si="13"/>
        <v>0.36863636363636365</v>
      </c>
      <c r="P83" s="46">
        <f t="shared" si="14"/>
        <v>0.59769709543568472</v>
      </c>
      <c r="Q83" s="46">
        <f t="shared" si="11"/>
        <v>0.28340325451309439</v>
      </c>
    </row>
    <row r="84" spans="1:17" x14ac:dyDescent="0.25">
      <c r="A84" s="129">
        <v>45870</v>
      </c>
      <c r="B84" s="128">
        <v>363.07400000000001</v>
      </c>
      <c r="C84" s="128">
        <v>351.19200000000001</v>
      </c>
      <c r="D84" s="76">
        <v>622.101</v>
      </c>
      <c r="E84" s="128">
        <v>397.51400000000001</v>
      </c>
      <c r="F84" s="128">
        <v>171.578</v>
      </c>
      <c r="G84" s="128">
        <v>388.40699999999998</v>
      </c>
      <c r="H84" s="76">
        <v>323.976</v>
      </c>
      <c r="J84" s="129">
        <f t="shared" si="12"/>
        <v>45870</v>
      </c>
      <c r="K84" s="46">
        <f t="shared" si="15"/>
        <v>0.74387127761767546</v>
      </c>
      <c r="L84" s="46">
        <f t="shared" si="9"/>
        <v>0.81307176045431095</v>
      </c>
      <c r="M84" s="46">
        <f t="shared" si="9"/>
        <v>1.4874090363854457</v>
      </c>
      <c r="N84" s="46">
        <f t="shared" si="10"/>
        <v>0.50973794151158369</v>
      </c>
      <c r="O84" s="46">
        <f t="shared" si="13"/>
        <v>0.36824561403508765</v>
      </c>
      <c r="P84" s="46">
        <f t="shared" si="14"/>
        <v>0.61164730290456426</v>
      </c>
      <c r="Q84" s="46">
        <f t="shared" si="11"/>
        <v>0.2870900076277651</v>
      </c>
    </row>
    <row r="85" spans="1:17" x14ac:dyDescent="0.25">
      <c r="A85" s="129">
        <v>45901</v>
      </c>
      <c r="B85" s="128">
        <v>366.17700000000002</v>
      </c>
      <c r="C85" s="128">
        <v>351.19200000000001</v>
      </c>
      <c r="D85" s="76">
        <v>601.81700000000001</v>
      </c>
      <c r="E85" s="128">
        <v>394.03899999999999</v>
      </c>
      <c r="F85" s="128">
        <v>171.52500000000001</v>
      </c>
      <c r="G85" s="128">
        <v>389.39100000000002</v>
      </c>
      <c r="H85" s="76">
        <v>324.8</v>
      </c>
      <c r="J85" s="129">
        <f t="shared" si="12"/>
        <v>45901</v>
      </c>
      <c r="K85" s="46">
        <f t="shared" si="15"/>
        <v>0.75877521613832877</v>
      </c>
      <c r="L85" s="46">
        <f>(C85-C$5)/C$5</f>
        <v>0.81307176045431095</v>
      </c>
      <c r="M85" s="46">
        <f t="shared" ref="M85:M88" si="16">(D85-D$5)/D$5</f>
        <v>1.4063054778088764</v>
      </c>
      <c r="N85" s="46">
        <f>(E85-E$5)/E$5</f>
        <v>0.49654006836308384</v>
      </c>
      <c r="O85" s="46">
        <f t="shared" si="13"/>
        <v>0.367822966507177</v>
      </c>
      <c r="P85" s="46">
        <f t="shared" si="14"/>
        <v>0.61573029045643157</v>
      </c>
      <c r="Q85" s="46">
        <f t="shared" ref="Q85" si="17">(H85-H$5)/H$5</f>
        <v>0.29036359013475727</v>
      </c>
    </row>
    <row r="86" spans="1:17" x14ac:dyDescent="0.25">
      <c r="A86" s="129">
        <v>45931</v>
      </c>
      <c r="B86" s="128">
        <v>364.13600000000002</v>
      </c>
      <c r="C86" s="128">
        <v>365.13499999999999</v>
      </c>
      <c r="D86" s="76">
        <v>572.23299999999995</v>
      </c>
      <c r="E86" s="128">
        <v>394.18400000000003</v>
      </c>
      <c r="F86" s="128">
        <v>176.17500000000001</v>
      </c>
      <c r="G86" s="128">
        <v>392.529</v>
      </c>
      <c r="H86" s="76">
        <f>AVERAGE(H85,H87)</f>
        <v>324.46100000000001</v>
      </c>
      <c r="J86" s="129">
        <f t="shared" si="12"/>
        <v>45931</v>
      </c>
      <c r="K86" s="46">
        <f t="shared" ref="K86:K88" si="18">(B86-B$5)/B$5</f>
        <v>0.74897214217098962</v>
      </c>
      <c r="L86" s="46">
        <f t="shared" ref="L86" si="19">(C86-C$5)/C$5</f>
        <v>0.88505420753742903</v>
      </c>
      <c r="M86" s="46">
        <f t="shared" si="16"/>
        <v>1.2880167932826867</v>
      </c>
      <c r="N86" s="46">
        <f t="shared" ref="N86" si="20">(E86-E$5)/E$5</f>
        <v>0.49709077098366883</v>
      </c>
      <c r="O86" s="46">
        <f t="shared" si="13"/>
        <v>0.40490430622009571</v>
      </c>
      <c r="P86" s="46">
        <f t="shared" si="14"/>
        <v>0.6287510373443983</v>
      </c>
      <c r="Q86" s="46">
        <f t="shared" ref="Q86:Q87" si="21">(H86-H$5)/H$5</f>
        <v>0.28901681286549719</v>
      </c>
    </row>
    <row r="87" spans="1:17" x14ac:dyDescent="0.25">
      <c r="A87" s="129">
        <v>45962</v>
      </c>
      <c r="B87" s="128">
        <v>364.13600000000002</v>
      </c>
      <c r="C87" s="128">
        <v>365.13499999999999</v>
      </c>
      <c r="D87" s="76">
        <v>573.51700000000005</v>
      </c>
      <c r="E87" s="128">
        <v>395.80900000000003</v>
      </c>
      <c r="F87" s="128">
        <v>175.905</v>
      </c>
      <c r="G87" s="128">
        <v>395.10399999999998</v>
      </c>
      <c r="H87" s="76">
        <v>324.12200000000001</v>
      </c>
      <c r="J87" s="129">
        <f t="shared" si="12"/>
        <v>45962</v>
      </c>
      <c r="K87" s="46">
        <f t="shared" si="18"/>
        <v>0.74897214217098962</v>
      </c>
      <c r="L87" s="46">
        <f>(C87-C$5)/C$5</f>
        <v>0.88505420753742903</v>
      </c>
      <c r="M87" s="46">
        <f t="shared" si="16"/>
        <v>1.2931507397041184</v>
      </c>
      <c r="N87" s="46">
        <f>(E87-E$5)/E$5</f>
        <v>0.50326243828332706</v>
      </c>
      <c r="O87" s="46">
        <f t="shared" si="13"/>
        <v>0.40275119617224875</v>
      </c>
      <c r="P87" s="46">
        <f t="shared" si="14"/>
        <v>0.63943568464730283</v>
      </c>
      <c r="Q87" s="46">
        <f t="shared" si="21"/>
        <v>0.28767003559623711</v>
      </c>
    </row>
    <row r="88" spans="1:17" x14ac:dyDescent="0.25">
      <c r="A88" s="129">
        <v>45992</v>
      </c>
      <c r="B88" s="128">
        <v>369.00700000000001</v>
      </c>
      <c r="C88" s="128">
        <v>365.13499999999999</v>
      </c>
      <c r="D88" s="76">
        <v>576.21600000000001</v>
      </c>
      <c r="E88" s="128">
        <v>395.68400000000003</v>
      </c>
      <c r="F88" s="128">
        <v>175.387</v>
      </c>
      <c r="G88" s="128">
        <v>396.13900000000001</v>
      </c>
      <c r="H88" s="76">
        <v>324.05399999999997</v>
      </c>
      <c r="J88" s="129">
        <f t="shared" si="12"/>
        <v>45992</v>
      </c>
      <c r="K88" s="46">
        <f t="shared" si="18"/>
        <v>0.77236791546589834</v>
      </c>
      <c r="L88" s="46">
        <f>(C88-C$5)/C$5</f>
        <v>0.88505420753742903</v>
      </c>
      <c r="M88" s="46">
        <f t="shared" si="16"/>
        <v>1.3039424230307877</v>
      </c>
      <c r="N88" s="70">
        <f>(E88-E$5)/E$5</f>
        <v>0.50278769464489181</v>
      </c>
      <c r="O88" s="46">
        <f t="shared" si="13"/>
        <v>0.39862041467304621</v>
      </c>
      <c r="P88" s="46">
        <f t="shared" si="14"/>
        <v>0.6437302904564316</v>
      </c>
      <c r="Q88" s="46">
        <f>(H88-H$5)/H$5</f>
        <v>0.28739988558352397</v>
      </c>
    </row>
    <row r="89" spans="1:17" x14ac:dyDescent="0.25">
      <c r="A89" s="129"/>
      <c r="K89" s="46"/>
      <c r="L89" s="46"/>
      <c r="M89" s="70"/>
      <c r="N89" s="46"/>
      <c r="O89" s="46"/>
      <c r="P89" s="46"/>
      <c r="Q89" s="46"/>
    </row>
    <row r="90" spans="1:17" x14ac:dyDescent="0.25">
      <c r="A90" s="129"/>
      <c r="K90" s="46"/>
      <c r="L90" s="46"/>
      <c r="M90" s="70"/>
      <c r="N90" s="46"/>
      <c r="O90" s="46"/>
      <c r="P90" s="46"/>
      <c r="Q90" s="46"/>
    </row>
    <row r="91" spans="1:17" x14ac:dyDescent="0.25">
      <c r="A91" s="129"/>
      <c r="K91" s="46"/>
      <c r="L91" s="46"/>
      <c r="M91" s="70"/>
      <c r="N91" s="46"/>
      <c r="O91" s="46"/>
      <c r="P91" s="46"/>
      <c r="Q91" s="46"/>
    </row>
    <row r="92" spans="1:17" x14ac:dyDescent="0.25">
      <c r="A92" s="129"/>
    </row>
    <row r="94" spans="1:17" x14ac:dyDescent="0.25">
      <c r="A94" s="133" t="s">
        <v>197</v>
      </c>
      <c r="B94" s="138" t="s">
        <v>605</v>
      </c>
    </row>
    <row r="95" spans="1:17" x14ac:dyDescent="0.25">
      <c r="A95" s="133"/>
      <c r="B95" s="138" t="s">
        <v>606</v>
      </c>
    </row>
    <row r="96" spans="1:17" x14ac:dyDescent="0.25">
      <c r="A96" s="133"/>
      <c r="B96" s="138" t="s">
        <v>607</v>
      </c>
    </row>
    <row r="97" spans="1:3" x14ac:dyDescent="0.25">
      <c r="A97" s="133"/>
      <c r="B97" s="138" t="s">
        <v>608</v>
      </c>
    </row>
    <row r="98" spans="1:3" x14ac:dyDescent="0.25">
      <c r="A98" s="133"/>
      <c r="B98" s="138" t="s">
        <v>609</v>
      </c>
    </row>
    <row r="99" spans="1:3" x14ac:dyDescent="0.25">
      <c r="A99" s="133"/>
      <c r="B99" s="138" t="s">
        <v>610</v>
      </c>
    </row>
    <row r="100" spans="1:3" x14ac:dyDescent="0.25">
      <c r="A100" s="133"/>
      <c r="B100" s="138" t="s">
        <v>611</v>
      </c>
    </row>
    <row r="101" spans="1:3" x14ac:dyDescent="0.25">
      <c r="A101" s="133"/>
      <c r="B101" s="138" t="s">
        <v>612</v>
      </c>
    </row>
    <row r="103" spans="1:3" x14ac:dyDescent="0.25">
      <c r="A103" s="133" t="s">
        <v>205</v>
      </c>
      <c r="B103" s="138" t="s">
        <v>206</v>
      </c>
      <c r="C103" s="138"/>
    </row>
    <row r="104" spans="1:3" x14ac:dyDescent="0.25">
      <c r="C104" s="139"/>
    </row>
    <row r="106" spans="1:3" x14ac:dyDescent="0.25">
      <c r="C106" s="139"/>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3272C-EC43-4DE2-8CFD-7E9EB85F2FE1}">
  <sheetPr>
    <tabColor theme="9" tint="0.59999389629810485"/>
  </sheetPr>
  <dimension ref="A1:I35"/>
  <sheetViews>
    <sheetView workbookViewId="0">
      <selection activeCell="J34" sqref="J34"/>
    </sheetView>
  </sheetViews>
  <sheetFormatPr defaultRowHeight="15" x14ac:dyDescent="0.25"/>
  <cols>
    <col min="1" max="1" width="27.5703125" style="25" customWidth="1"/>
    <col min="2" max="2" width="8.5703125" style="25" customWidth="1"/>
    <col min="3" max="3" width="16.5703125" style="25" customWidth="1"/>
    <col min="4" max="4" width="13.5703125" style="25" customWidth="1"/>
    <col min="5" max="5" width="14.85546875" style="25" customWidth="1"/>
    <col min="6" max="6" width="22.5703125" style="25" customWidth="1"/>
    <col min="7" max="8" width="25.42578125" customWidth="1"/>
    <col min="9" max="9" width="11.5703125" customWidth="1"/>
  </cols>
  <sheetData>
    <row r="1" spans="1:9" x14ac:dyDescent="0.25">
      <c r="A1" s="59" t="s">
        <v>91</v>
      </c>
      <c r="B1" s="92"/>
    </row>
    <row r="2" spans="1:9" x14ac:dyDescent="0.25">
      <c r="A2" s="28" t="s">
        <v>92</v>
      </c>
    </row>
    <row r="4" spans="1:9" ht="30" x14ac:dyDescent="0.25">
      <c r="A4" s="112" t="s">
        <v>613</v>
      </c>
      <c r="B4" s="43" t="s">
        <v>614</v>
      </c>
      <c r="C4" s="43" t="s">
        <v>158</v>
      </c>
      <c r="D4" s="43" t="s">
        <v>615</v>
      </c>
      <c r="E4" s="43" t="s">
        <v>616</v>
      </c>
      <c r="F4" s="43" t="s">
        <v>617</v>
      </c>
    </row>
    <row r="5" spans="1:9" x14ac:dyDescent="0.25">
      <c r="A5" t="s">
        <v>618</v>
      </c>
      <c r="B5" s="143" t="s">
        <v>619</v>
      </c>
      <c r="C5" s="143">
        <v>2025</v>
      </c>
      <c r="D5" s="25" t="s">
        <v>620</v>
      </c>
      <c r="E5" s="44">
        <v>3.24</v>
      </c>
      <c r="F5" s="128">
        <v>3.24</v>
      </c>
      <c r="I5" s="72"/>
    </row>
    <row r="6" spans="1:9" x14ac:dyDescent="0.25">
      <c r="A6" t="s">
        <v>621</v>
      </c>
      <c r="B6" s="143" t="s">
        <v>622</v>
      </c>
      <c r="C6" s="143">
        <v>2025</v>
      </c>
      <c r="D6" s="25" t="s">
        <v>623</v>
      </c>
      <c r="E6" s="44">
        <v>2.5209442649358591</v>
      </c>
      <c r="F6" s="128">
        <v>3.2424713966708669</v>
      </c>
    </row>
    <row r="7" spans="1:9" x14ac:dyDescent="0.25">
      <c r="A7" t="s">
        <v>624</v>
      </c>
      <c r="B7" s="143" t="s">
        <v>619</v>
      </c>
      <c r="C7" s="143">
        <v>2025</v>
      </c>
      <c r="D7" s="25" t="s">
        <v>625</v>
      </c>
      <c r="E7" s="44">
        <v>1.9950000000000001</v>
      </c>
      <c r="F7" s="128">
        <v>3.004</v>
      </c>
    </row>
    <row r="8" spans="1:9" x14ac:dyDescent="0.25">
      <c r="A8" t="s">
        <v>626</v>
      </c>
      <c r="B8" s="143" t="s">
        <v>627</v>
      </c>
      <c r="C8" s="143">
        <v>2025</v>
      </c>
      <c r="D8" s="25" t="s">
        <v>628</v>
      </c>
      <c r="E8" s="44">
        <v>1.43</v>
      </c>
      <c r="F8" s="128">
        <v>20.02</v>
      </c>
    </row>
    <row r="9" spans="1:9" x14ac:dyDescent="0.25">
      <c r="A9" t="s">
        <v>629</v>
      </c>
      <c r="B9" s="25" t="s">
        <v>619</v>
      </c>
      <c r="C9" s="25">
        <v>2025</v>
      </c>
      <c r="D9" s="25" t="s">
        <v>620</v>
      </c>
      <c r="E9" s="44">
        <v>1.202</v>
      </c>
      <c r="F9" s="128">
        <v>1.202</v>
      </c>
    </row>
    <row r="10" spans="1:9" x14ac:dyDescent="0.25">
      <c r="A10" t="s">
        <v>630</v>
      </c>
      <c r="B10" s="143" t="s">
        <v>619</v>
      </c>
      <c r="C10" s="143">
        <v>2025</v>
      </c>
      <c r="D10" s="25" t="s">
        <v>631</v>
      </c>
      <c r="E10" s="44">
        <v>0.93600000000000005</v>
      </c>
      <c r="F10" s="128">
        <v>1.4040000000000001</v>
      </c>
    </row>
    <row r="11" spans="1:9" x14ac:dyDescent="0.25">
      <c r="A11" t="s">
        <v>632</v>
      </c>
      <c r="B11" s="143" t="s">
        <v>633</v>
      </c>
      <c r="C11" s="143">
        <v>2025</v>
      </c>
      <c r="D11" s="25" t="s">
        <v>634</v>
      </c>
      <c r="E11" s="44">
        <v>0.93440000000000001</v>
      </c>
      <c r="F11" s="128">
        <v>8.4095999999999993</v>
      </c>
    </row>
    <row r="12" spans="1:9" x14ac:dyDescent="0.25">
      <c r="A12" t="s">
        <v>635</v>
      </c>
      <c r="B12" s="25" t="s">
        <v>627</v>
      </c>
      <c r="C12" s="25">
        <v>2025</v>
      </c>
      <c r="D12" s="25" t="s">
        <v>636</v>
      </c>
      <c r="E12" s="44">
        <v>0.64610000000000001</v>
      </c>
      <c r="F12" s="128">
        <v>9.0454000000000008</v>
      </c>
    </row>
    <row r="13" spans="1:9" x14ac:dyDescent="0.25">
      <c r="A13" t="s">
        <v>637</v>
      </c>
      <c r="B13" s="143" t="s">
        <v>638</v>
      </c>
      <c r="C13" s="143" t="s">
        <v>639</v>
      </c>
      <c r="D13" s="25" t="s">
        <v>628</v>
      </c>
      <c r="E13" s="44">
        <v>0.64142857142857146</v>
      </c>
      <c r="F13" s="128">
        <v>9.6214285714285719</v>
      </c>
    </row>
    <row r="14" spans="1:9" x14ac:dyDescent="0.25">
      <c r="A14" t="s">
        <v>640</v>
      </c>
      <c r="B14" s="25" t="s">
        <v>641</v>
      </c>
      <c r="C14" s="25">
        <v>2025</v>
      </c>
      <c r="D14" s="25" t="s">
        <v>642</v>
      </c>
      <c r="E14" s="44">
        <v>0.621</v>
      </c>
      <c r="F14" s="128">
        <v>12.42</v>
      </c>
    </row>
    <row r="15" spans="1:9" x14ac:dyDescent="0.25">
      <c r="A15" t="s">
        <v>643</v>
      </c>
      <c r="B15" s="143" t="s">
        <v>627</v>
      </c>
      <c r="C15" s="143">
        <v>2022</v>
      </c>
      <c r="D15" s="25" t="s">
        <v>644</v>
      </c>
      <c r="E15" s="44">
        <v>0.505</v>
      </c>
      <c r="F15" s="128">
        <v>8.4587500000000002</v>
      </c>
    </row>
    <row r="16" spans="1:9" x14ac:dyDescent="0.25">
      <c r="A16" t="s">
        <v>645</v>
      </c>
      <c r="B16" s="25" t="s">
        <v>646</v>
      </c>
      <c r="C16" s="25" t="s">
        <v>639</v>
      </c>
      <c r="D16" s="25" t="s">
        <v>647</v>
      </c>
      <c r="E16" s="44">
        <v>0.48136363636363644</v>
      </c>
      <c r="F16" s="128">
        <v>0.63460694050753952</v>
      </c>
    </row>
    <row r="17" spans="1:6" x14ac:dyDescent="0.25">
      <c r="A17" t="s">
        <v>648</v>
      </c>
      <c r="B17" s="25" t="s">
        <v>649</v>
      </c>
      <c r="C17" s="25">
        <v>2025</v>
      </c>
      <c r="D17" s="25" t="s">
        <v>650</v>
      </c>
      <c r="E17" s="44">
        <v>0.40600000000000003</v>
      </c>
      <c r="F17" s="128">
        <v>2.0300000000000002</v>
      </c>
    </row>
    <row r="18" spans="1:6" x14ac:dyDescent="0.25">
      <c r="A18" t="s">
        <v>640</v>
      </c>
      <c r="B18" s="25" t="s">
        <v>651</v>
      </c>
      <c r="C18" s="25">
        <v>2025</v>
      </c>
      <c r="D18" s="25" t="s">
        <v>642</v>
      </c>
      <c r="E18" s="44">
        <v>0.376</v>
      </c>
      <c r="F18" s="128">
        <v>7.52</v>
      </c>
    </row>
    <row r="19" spans="1:6" x14ac:dyDescent="0.25">
      <c r="A19" t="s">
        <v>652</v>
      </c>
      <c r="B19" s="25" t="s">
        <v>653</v>
      </c>
      <c r="C19" s="25">
        <v>2025</v>
      </c>
      <c r="D19" s="25" t="s">
        <v>620</v>
      </c>
      <c r="E19" s="44">
        <v>0.3684335201768752</v>
      </c>
      <c r="F19" s="128">
        <v>0.3684335201768752</v>
      </c>
    </row>
    <row r="20" spans="1:6" x14ac:dyDescent="0.25">
      <c r="A20" t="s">
        <v>654</v>
      </c>
      <c r="B20" s="25" t="s">
        <v>655</v>
      </c>
      <c r="C20" s="25" t="s">
        <v>639</v>
      </c>
      <c r="D20" s="25" t="s">
        <v>656</v>
      </c>
      <c r="E20" s="44">
        <v>0.26139017429290462</v>
      </c>
      <c r="F20" s="128">
        <v>1.0455606971716185</v>
      </c>
    </row>
    <row r="21" spans="1:6" x14ac:dyDescent="0.25">
      <c r="A21" t="s">
        <v>657</v>
      </c>
      <c r="B21" s="25" t="s">
        <v>646</v>
      </c>
      <c r="C21" s="25">
        <v>2025</v>
      </c>
      <c r="D21" s="25" t="s">
        <v>628</v>
      </c>
      <c r="E21" s="44">
        <v>0.25454545454545452</v>
      </c>
      <c r="F21" s="128">
        <v>3.8181818181818179</v>
      </c>
    </row>
    <row r="22" spans="1:6" x14ac:dyDescent="0.25">
      <c r="A22" t="s">
        <v>658</v>
      </c>
      <c r="B22" s="25" t="s">
        <v>646</v>
      </c>
      <c r="C22" s="25">
        <v>2022</v>
      </c>
      <c r="D22" s="25" t="s">
        <v>628</v>
      </c>
      <c r="E22" s="44">
        <v>0.224</v>
      </c>
      <c r="F22" s="128">
        <v>3.36</v>
      </c>
    </row>
    <row r="23" spans="1:6" x14ac:dyDescent="0.25">
      <c r="A23" t="s">
        <v>659</v>
      </c>
      <c r="B23" s="25" t="s">
        <v>633</v>
      </c>
      <c r="C23" s="25">
        <v>2025</v>
      </c>
      <c r="D23" s="25" t="s">
        <v>660</v>
      </c>
      <c r="E23" s="44">
        <v>0.20280000000000001</v>
      </c>
      <c r="F23" s="128">
        <v>2.028</v>
      </c>
    </row>
    <row r="24" spans="1:6" x14ac:dyDescent="0.25">
      <c r="A24" t="s">
        <v>661</v>
      </c>
      <c r="B24" s="25" t="s">
        <v>651</v>
      </c>
      <c r="C24" s="25">
        <v>2025</v>
      </c>
      <c r="D24" s="25" t="s">
        <v>642</v>
      </c>
      <c r="E24" s="44">
        <v>0.18909999999999999</v>
      </c>
      <c r="F24" s="128">
        <v>3.782</v>
      </c>
    </row>
    <row r="25" spans="1:6" x14ac:dyDescent="0.25">
      <c r="A25" s="114" t="s">
        <v>662</v>
      </c>
      <c r="B25" s="25" t="s">
        <v>663</v>
      </c>
      <c r="C25" s="25">
        <v>2025</v>
      </c>
      <c r="D25" s="25" t="s">
        <v>620</v>
      </c>
      <c r="E25" s="44">
        <v>0.184</v>
      </c>
      <c r="F25" s="128">
        <v>0.184</v>
      </c>
    </row>
    <row r="26" spans="1:6" x14ac:dyDescent="0.25">
      <c r="A26" s="114" t="s">
        <v>664</v>
      </c>
      <c r="B26" s="25" t="s">
        <v>665</v>
      </c>
      <c r="C26" s="25">
        <v>2025</v>
      </c>
      <c r="D26" s="25" t="s">
        <v>647</v>
      </c>
      <c r="E26" s="44">
        <v>0.15</v>
      </c>
      <c r="F26" s="128">
        <v>0.42692307692307691</v>
      </c>
    </row>
    <row r="27" spans="1:6" x14ac:dyDescent="0.25">
      <c r="A27" s="28" t="s">
        <v>666</v>
      </c>
      <c r="B27" s="25" t="s">
        <v>646</v>
      </c>
      <c r="C27" s="25">
        <v>2019</v>
      </c>
      <c r="D27" s="25" t="s">
        <v>667</v>
      </c>
      <c r="E27" s="44">
        <v>0.14019999999999999</v>
      </c>
      <c r="F27" s="128">
        <v>1.4019999999999999</v>
      </c>
    </row>
    <row r="28" spans="1:6" x14ac:dyDescent="0.25">
      <c r="A28" s="28" t="s">
        <v>668</v>
      </c>
      <c r="B28" s="25" t="s">
        <v>669</v>
      </c>
      <c r="C28" s="25">
        <v>2023</v>
      </c>
      <c r="D28" s="25" t="s">
        <v>670</v>
      </c>
      <c r="E28" s="44">
        <v>0.10874999999999999</v>
      </c>
      <c r="F28" s="128">
        <v>0.76124999999999987</v>
      </c>
    </row>
    <row r="32" spans="1:6" ht="21" customHeight="1" x14ac:dyDescent="0.25">
      <c r="A32" s="114" t="s">
        <v>197</v>
      </c>
      <c r="B32" s="302" t="s">
        <v>671</v>
      </c>
      <c r="C32" s="302"/>
      <c r="D32" s="302"/>
      <c r="E32" s="302"/>
      <c r="F32" s="302"/>
    </row>
    <row r="33" spans="1:6" x14ac:dyDescent="0.25">
      <c r="A33" s="114"/>
      <c r="B33" s="28"/>
      <c r="C33" s="28"/>
      <c r="D33" s="28"/>
      <c r="E33" s="28"/>
      <c r="F33" s="28"/>
    </row>
    <row r="34" spans="1:6" ht="137.25" customHeight="1" x14ac:dyDescent="0.25">
      <c r="A34" s="114" t="s">
        <v>205</v>
      </c>
      <c r="B34" s="301" t="s">
        <v>672</v>
      </c>
      <c r="C34" s="301"/>
      <c r="D34" s="301"/>
      <c r="E34" s="301"/>
      <c r="F34" s="301"/>
    </row>
    <row r="35" spans="1:6" x14ac:dyDescent="0.25">
      <c r="B35" s="28"/>
      <c r="C35" s="28"/>
      <c r="D35" s="28"/>
      <c r="E35" s="28"/>
      <c r="F35" s="28"/>
    </row>
  </sheetData>
  <mergeCells count="2">
    <mergeCell ref="B34:F34"/>
    <mergeCell ref="B32:F32"/>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9E353-003E-41CF-A21A-581A9FE2A8F0}">
  <sheetPr>
    <tabColor theme="9" tint="0.59999389629810485"/>
  </sheetPr>
  <dimension ref="A1:I30"/>
  <sheetViews>
    <sheetView workbookViewId="0">
      <selection activeCell="S36" sqref="S36"/>
    </sheetView>
  </sheetViews>
  <sheetFormatPr defaultRowHeight="15" x14ac:dyDescent="0.25"/>
  <cols>
    <col min="1" max="1" width="22.42578125" style="25" customWidth="1"/>
    <col min="2" max="2" width="10.42578125" style="25" customWidth="1"/>
    <col min="3" max="3" width="22.85546875" style="25" customWidth="1"/>
    <col min="4" max="4" width="13.5703125" style="30" customWidth="1"/>
    <col min="5" max="5" width="33.85546875" style="25" customWidth="1"/>
    <col min="6" max="6" width="24.5703125" style="25" customWidth="1"/>
    <col min="7" max="8" width="25.42578125" customWidth="1"/>
    <col min="9" max="9" width="11.5703125" customWidth="1"/>
  </cols>
  <sheetData>
    <row r="1" spans="1:9" x14ac:dyDescent="0.25">
      <c r="A1" s="59" t="s">
        <v>93</v>
      </c>
      <c r="B1" s="92"/>
    </row>
    <row r="2" spans="1:9" x14ac:dyDescent="0.25">
      <c r="A2" s="28" t="s">
        <v>94</v>
      </c>
    </row>
    <row r="4" spans="1:9" s="31" customFormat="1" ht="30" x14ac:dyDescent="0.25">
      <c r="A4" s="112" t="s">
        <v>613</v>
      </c>
      <c r="B4" s="43" t="s">
        <v>614</v>
      </c>
      <c r="C4" s="43" t="s">
        <v>673</v>
      </c>
      <c r="D4" s="53" t="s">
        <v>158</v>
      </c>
      <c r="E4" s="112" t="s">
        <v>674</v>
      </c>
      <c r="F4" s="54"/>
    </row>
    <row r="5" spans="1:9" x14ac:dyDescent="0.25">
      <c r="A5" s="28" t="s">
        <v>675</v>
      </c>
      <c r="B5" s="25" t="s">
        <v>676</v>
      </c>
      <c r="C5" s="44">
        <v>5.0185692418082342</v>
      </c>
      <c r="D5" s="30">
        <v>2025</v>
      </c>
      <c r="E5" t="s">
        <v>677</v>
      </c>
      <c r="F5" s="76"/>
      <c r="I5" s="72"/>
    </row>
    <row r="6" spans="1:9" x14ac:dyDescent="0.25">
      <c r="A6" s="28" t="s">
        <v>678</v>
      </c>
      <c r="B6" s="25" t="s">
        <v>676</v>
      </c>
      <c r="C6" s="44">
        <v>4.6653837159576463</v>
      </c>
      <c r="D6" s="30">
        <v>2025</v>
      </c>
      <c r="E6" t="s">
        <v>677</v>
      </c>
      <c r="F6" s="76"/>
    </row>
    <row r="7" spans="1:9" x14ac:dyDescent="0.25">
      <c r="A7" s="28" t="s">
        <v>679</v>
      </c>
      <c r="B7" s="25" t="s">
        <v>676</v>
      </c>
      <c r="C7" s="44">
        <v>3.2867597059748035</v>
      </c>
      <c r="D7" s="30">
        <v>2025</v>
      </c>
      <c r="E7" t="s">
        <v>677</v>
      </c>
      <c r="F7" s="76"/>
    </row>
    <row r="8" spans="1:9" x14ac:dyDescent="0.25">
      <c r="A8" s="28" t="s">
        <v>680</v>
      </c>
      <c r="B8" s="25" t="s">
        <v>681</v>
      </c>
      <c r="C8" s="44">
        <v>1.6748261735776482</v>
      </c>
      <c r="D8" s="30">
        <v>2025</v>
      </c>
      <c r="E8" t="s">
        <v>682</v>
      </c>
      <c r="F8" s="76"/>
    </row>
    <row r="9" spans="1:9" x14ac:dyDescent="0.25">
      <c r="A9" s="28" t="s">
        <v>683</v>
      </c>
      <c r="B9" s="25" t="s">
        <v>681</v>
      </c>
      <c r="C9" s="44">
        <v>1.5223696285555952</v>
      </c>
      <c r="D9" s="30">
        <v>2025</v>
      </c>
      <c r="E9" t="s">
        <v>682</v>
      </c>
      <c r="F9" s="76"/>
    </row>
    <row r="10" spans="1:9" x14ac:dyDescent="0.25">
      <c r="A10" s="28" t="s">
        <v>684</v>
      </c>
      <c r="B10" s="25" t="s">
        <v>685</v>
      </c>
      <c r="C10" s="44">
        <v>1.5</v>
      </c>
      <c r="D10" s="30">
        <v>2028</v>
      </c>
      <c r="E10" t="s">
        <v>686</v>
      </c>
      <c r="F10" s="76"/>
    </row>
    <row r="11" spans="1:9" x14ac:dyDescent="0.25">
      <c r="A11" s="28" t="s">
        <v>687</v>
      </c>
      <c r="B11" s="25" t="s">
        <v>688</v>
      </c>
      <c r="C11" s="44">
        <v>0.67208755502907169</v>
      </c>
      <c r="D11" s="30">
        <v>2025</v>
      </c>
      <c r="E11" t="s">
        <v>682</v>
      </c>
      <c r="F11" s="76"/>
    </row>
    <row r="12" spans="1:9" x14ac:dyDescent="0.25">
      <c r="A12" s="28" t="s">
        <v>689</v>
      </c>
      <c r="B12" s="25" t="s">
        <v>669</v>
      </c>
      <c r="C12" s="44">
        <v>0.61599999999999999</v>
      </c>
      <c r="D12" s="30">
        <v>2025</v>
      </c>
      <c r="E12" t="s">
        <v>690</v>
      </c>
      <c r="F12" s="76"/>
    </row>
    <row r="13" spans="1:9" x14ac:dyDescent="0.25">
      <c r="A13" s="28" t="s">
        <v>687</v>
      </c>
      <c r="B13" s="25" t="s">
        <v>691</v>
      </c>
      <c r="C13" s="44">
        <v>0.60575695275671915</v>
      </c>
      <c r="D13" s="30">
        <v>2025</v>
      </c>
      <c r="E13" t="s">
        <v>677</v>
      </c>
      <c r="F13" s="76"/>
    </row>
    <row r="14" spans="1:9" x14ac:dyDescent="0.25">
      <c r="A14" s="28" t="s">
        <v>692</v>
      </c>
      <c r="B14" s="25" t="s">
        <v>693</v>
      </c>
      <c r="C14" s="44">
        <v>0.40926680639812979</v>
      </c>
      <c r="D14" s="30">
        <v>2025</v>
      </c>
      <c r="E14" t="s">
        <v>682</v>
      </c>
      <c r="F14" s="76"/>
    </row>
    <row r="15" spans="1:9" x14ac:dyDescent="0.25">
      <c r="A15" s="28" t="s">
        <v>694</v>
      </c>
      <c r="B15" s="25" t="s">
        <v>669</v>
      </c>
      <c r="C15" s="44">
        <v>0.40800000000000003</v>
      </c>
      <c r="D15" s="30">
        <v>2025</v>
      </c>
      <c r="E15" t="s">
        <v>690</v>
      </c>
      <c r="F15" s="76"/>
    </row>
    <row r="16" spans="1:9" x14ac:dyDescent="0.25">
      <c r="A16" s="28" t="s">
        <v>695</v>
      </c>
      <c r="B16" s="25" t="s">
        <v>696</v>
      </c>
      <c r="C16" s="44">
        <v>0.39118589134916149</v>
      </c>
      <c r="D16" s="30">
        <v>2026</v>
      </c>
      <c r="E16" t="s">
        <v>686</v>
      </c>
      <c r="F16" s="76"/>
    </row>
    <row r="17" spans="1:7" x14ac:dyDescent="0.25">
      <c r="A17" s="28" t="s">
        <v>697</v>
      </c>
      <c r="B17" s="25" t="s">
        <v>698</v>
      </c>
      <c r="C17" s="44">
        <v>0.32868066861546774</v>
      </c>
      <c r="D17" s="30">
        <v>2025</v>
      </c>
      <c r="E17" t="s">
        <v>699</v>
      </c>
      <c r="F17" s="76"/>
    </row>
    <row r="18" spans="1:7" x14ac:dyDescent="0.25">
      <c r="A18" s="28" t="s">
        <v>700</v>
      </c>
      <c r="B18" s="25" t="s">
        <v>701</v>
      </c>
      <c r="C18" s="44">
        <v>0.316</v>
      </c>
      <c r="D18" s="30">
        <v>2025</v>
      </c>
      <c r="E18" t="s">
        <v>690</v>
      </c>
      <c r="F18" s="76"/>
    </row>
    <row r="19" spans="1:7" x14ac:dyDescent="0.25">
      <c r="A19" s="28" t="s">
        <v>666</v>
      </c>
      <c r="B19" s="25" t="s">
        <v>646</v>
      </c>
      <c r="C19" s="44">
        <v>0.26031199488169804</v>
      </c>
      <c r="D19" s="30">
        <v>2025</v>
      </c>
      <c r="E19" t="s">
        <v>699</v>
      </c>
      <c r="F19" s="76"/>
    </row>
    <row r="20" spans="1:7" x14ac:dyDescent="0.25">
      <c r="A20" s="28" t="s">
        <v>702</v>
      </c>
      <c r="B20" s="25" t="s">
        <v>703</v>
      </c>
      <c r="C20" s="44">
        <v>0.22302416641882122</v>
      </c>
      <c r="D20" s="30">
        <v>2025</v>
      </c>
      <c r="E20" t="s">
        <v>690</v>
      </c>
      <c r="F20" s="76"/>
    </row>
    <row r="21" spans="1:7" x14ac:dyDescent="0.25">
      <c r="A21" s="28" t="s">
        <v>645</v>
      </c>
      <c r="B21" s="25" t="s">
        <v>646</v>
      </c>
      <c r="C21" s="44">
        <v>0.18292796888280821</v>
      </c>
      <c r="D21" s="30">
        <v>2025</v>
      </c>
      <c r="E21" t="s">
        <v>699</v>
      </c>
      <c r="F21" s="76"/>
    </row>
    <row r="22" spans="1:7" x14ac:dyDescent="0.25">
      <c r="A22" s="28" t="s">
        <v>704</v>
      </c>
      <c r="B22" s="25" t="s">
        <v>705</v>
      </c>
      <c r="C22" s="44">
        <v>0.13034011736403456</v>
      </c>
      <c r="D22" s="30">
        <v>2025</v>
      </c>
      <c r="E22" t="s">
        <v>677</v>
      </c>
      <c r="F22" s="76"/>
    </row>
    <row r="23" spans="1:7" x14ac:dyDescent="0.25">
      <c r="A23" s="28" t="s">
        <v>706</v>
      </c>
      <c r="B23" s="25" t="s">
        <v>703</v>
      </c>
      <c r="C23" s="44">
        <v>0.1133</v>
      </c>
      <c r="D23" s="30">
        <v>2025</v>
      </c>
      <c r="E23" t="s">
        <v>677</v>
      </c>
      <c r="F23" s="76"/>
    </row>
    <row r="24" spans="1:7" x14ac:dyDescent="0.25">
      <c r="A24" s="28" t="s">
        <v>707</v>
      </c>
      <c r="B24" s="25" t="s">
        <v>646</v>
      </c>
      <c r="C24" s="44">
        <v>8.0050961541752647E-2</v>
      </c>
      <c r="D24" s="30">
        <v>2026</v>
      </c>
      <c r="E24" t="s">
        <v>699</v>
      </c>
      <c r="F24" s="76"/>
    </row>
    <row r="25" spans="1:7" x14ac:dyDescent="0.25">
      <c r="A25" s="28" t="s">
        <v>708</v>
      </c>
      <c r="B25" s="25" t="s">
        <v>701</v>
      </c>
      <c r="C25" s="44">
        <v>2.9000000000000001E-2</v>
      </c>
      <c r="D25" s="30">
        <v>2025</v>
      </c>
      <c r="E25" t="s">
        <v>690</v>
      </c>
      <c r="F25" s="76"/>
    </row>
    <row r="26" spans="1:7" x14ac:dyDescent="0.25">
      <c r="A26" s="28"/>
      <c r="C26" s="44"/>
      <c r="E26"/>
      <c r="F26" s="76"/>
    </row>
    <row r="27" spans="1:7" x14ac:dyDescent="0.25">
      <c r="A27" s="28"/>
      <c r="C27" s="44"/>
      <c r="E27"/>
      <c r="F27" s="76"/>
    </row>
    <row r="28" spans="1:7" x14ac:dyDescent="0.25">
      <c r="A28" s="114" t="s">
        <v>197</v>
      </c>
      <c r="B28" s="28" t="s">
        <v>671</v>
      </c>
      <c r="C28" s="28"/>
      <c r="D28" s="28"/>
      <c r="E28" s="28"/>
      <c r="F28" s="28"/>
    </row>
    <row r="29" spans="1:7" x14ac:dyDescent="0.25">
      <c r="A29" s="114"/>
      <c r="B29" s="28"/>
      <c r="C29" s="28"/>
      <c r="D29" s="28"/>
      <c r="E29" s="28"/>
      <c r="F29" s="28"/>
    </row>
    <row r="30" spans="1:7" ht="78" customHeight="1" x14ac:dyDescent="0.25">
      <c r="A30" s="114" t="s">
        <v>205</v>
      </c>
      <c r="B30" s="301" t="s">
        <v>709</v>
      </c>
      <c r="C30" s="301"/>
      <c r="D30" s="301"/>
      <c r="E30" s="301"/>
      <c r="F30" s="301"/>
      <c r="G30" s="113"/>
    </row>
  </sheetData>
  <mergeCells count="1">
    <mergeCell ref="B30:F30"/>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34BC5-215C-4F21-8D49-69638190C6D5}">
  <sheetPr>
    <tabColor theme="9" tint="0.59999389629810485"/>
  </sheetPr>
  <dimension ref="A1:M34"/>
  <sheetViews>
    <sheetView workbookViewId="0">
      <selection activeCell="F25" sqref="F25"/>
    </sheetView>
  </sheetViews>
  <sheetFormatPr defaultRowHeight="15" x14ac:dyDescent="0.25"/>
  <cols>
    <col min="1" max="1" width="11.5703125" style="25" customWidth="1"/>
    <col min="2" max="2" width="22.42578125" style="25" customWidth="1"/>
    <col min="3" max="3" width="19.5703125" style="25" customWidth="1"/>
    <col min="4" max="4" width="19.5703125" style="30" customWidth="1"/>
    <col min="5" max="6" width="19.5703125" style="25" customWidth="1"/>
    <col min="7" max="7" width="25.42578125" customWidth="1"/>
    <col min="8" max="8" width="13" customWidth="1"/>
    <col min="9" max="13" width="21.140625" customWidth="1"/>
  </cols>
  <sheetData>
    <row r="1" spans="1:13" x14ac:dyDescent="0.25">
      <c r="A1" s="59" t="s">
        <v>95</v>
      </c>
      <c r="B1" s="92"/>
    </row>
    <row r="2" spans="1:13" x14ac:dyDescent="0.25">
      <c r="A2" s="28" t="s">
        <v>96</v>
      </c>
    </row>
    <row r="3" spans="1:13" x14ac:dyDescent="0.25">
      <c r="A3" s="28"/>
    </row>
    <row r="4" spans="1:13" x14ac:dyDescent="0.25">
      <c r="A4" s="59"/>
      <c r="H4" s="59"/>
      <c r="I4" s="25"/>
      <c r="J4" s="25"/>
      <c r="K4" s="30"/>
      <c r="L4" s="25"/>
      <c r="M4" s="25"/>
    </row>
    <row r="5" spans="1:13" s="31" customFormat="1" x14ac:dyDescent="0.25">
      <c r="A5" s="53" t="s">
        <v>614</v>
      </c>
      <c r="B5" s="43">
        <v>2019</v>
      </c>
      <c r="C5" s="43" t="s">
        <v>710</v>
      </c>
      <c r="D5" s="43" t="s">
        <v>711</v>
      </c>
      <c r="E5" s="54"/>
      <c r="F5" s="54"/>
      <c r="H5" s="74"/>
      <c r="I5" s="54"/>
      <c r="J5" s="54"/>
      <c r="K5" s="54"/>
      <c r="L5" s="54"/>
      <c r="M5" s="54"/>
    </row>
    <row r="6" spans="1:13" x14ac:dyDescent="0.25">
      <c r="A6" s="281" t="s">
        <v>622</v>
      </c>
      <c r="B6" s="282">
        <v>0.09</v>
      </c>
      <c r="C6" s="282">
        <v>1.22</v>
      </c>
      <c r="D6" s="44">
        <f>C6-B6</f>
        <v>1.1299999999999999</v>
      </c>
      <c r="E6" s="44"/>
      <c r="F6" s="44"/>
      <c r="H6" s="30"/>
      <c r="I6" s="44"/>
      <c r="J6" s="44"/>
      <c r="K6" s="44"/>
      <c r="L6" s="44"/>
      <c r="M6" s="44"/>
    </row>
    <row r="7" spans="1:13" x14ac:dyDescent="0.25">
      <c r="A7" s="281" t="s">
        <v>665</v>
      </c>
      <c r="B7" s="282">
        <v>1.1599999999999999</v>
      </c>
      <c r="C7" s="282">
        <v>2.09</v>
      </c>
      <c r="D7" s="44">
        <f t="shared" ref="D7:D26" si="0">C7-B7</f>
        <v>0.92999999999999994</v>
      </c>
      <c r="E7" s="44"/>
      <c r="F7" s="44"/>
      <c r="H7" s="30"/>
      <c r="I7" s="44"/>
      <c r="J7" s="44"/>
      <c r="K7" s="44"/>
      <c r="L7" s="44"/>
      <c r="M7" s="44"/>
    </row>
    <row r="8" spans="1:13" x14ac:dyDescent="0.25">
      <c r="A8" s="281" t="s">
        <v>712</v>
      </c>
      <c r="B8" s="282">
        <v>0.28999999999999998</v>
      </c>
      <c r="C8" s="282">
        <v>1.1599999999999999</v>
      </c>
      <c r="D8" s="44">
        <f t="shared" si="0"/>
        <v>0.86999999999999988</v>
      </c>
      <c r="E8" s="44"/>
      <c r="F8" s="44"/>
      <c r="H8" s="30"/>
      <c r="I8" s="44"/>
      <c r="J8" s="44"/>
      <c r="K8" s="44"/>
      <c r="L8" s="44"/>
      <c r="M8" s="44"/>
    </row>
    <row r="9" spans="1:13" x14ac:dyDescent="0.25">
      <c r="A9" s="281" t="s">
        <v>713</v>
      </c>
      <c r="B9" s="282">
        <v>1.29</v>
      </c>
      <c r="C9" s="282">
        <v>2</v>
      </c>
      <c r="D9" s="44">
        <f t="shared" si="0"/>
        <v>0.71</v>
      </c>
      <c r="E9" s="44"/>
      <c r="F9" s="44"/>
      <c r="H9" s="30"/>
      <c r="I9" s="44"/>
      <c r="J9" s="44"/>
      <c r="K9" s="44"/>
      <c r="L9" s="44"/>
      <c r="M9" s="44"/>
    </row>
    <row r="10" spans="1:13" x14ac:dyDescent="0.25">
      <c r="A10" s="281" t="s">
        <v>638</v>
      </c>
      <c r="B10" s="282">
        <v>0.94</v>
      </c>
      <c r="C10" s="282">
        <v>1.42</v>
      </c>
      <c r="D10" s="44">
        <f t="shared" si="0"/>
        <v>0.48</v>
      </c>
      <c r="E10" s="44"/>
      <c r="F10" s="44"/>
      <c r="H10" s="30"/>
      <c r="I10" s="44"/>
      <c r="J10" s="44"/>
      <c r="K10" s="44"/>
      <c r="L10" s="44"/>
      <c r="M10" s="44"/>
    </row>
    <row r="11" spans="1:13" x14ac:dyDescent="0.25">
      <c r="A11" s="281" t="s">
        <v>663</v>
      </c>
      <c r="B11" s="282">
        <v>0.08</v>
      </c>
      <c r="C11" s="282">
        <v>0.51</v>
      </c>
      <c r="D11" s="44">
        <f t="shared" si="0"/>
        <v>0.43</v>
      </c>
      <c r="E11" s="44"/>
      <c r="F11" s="44"/>
      <c r="H11" s="30"/>
      <c r="I11" s="44"/>
      <c r="J11" s="44"/>
      <c r="K11" s="44"/>
      <c r="L11" s="44"/>
      <c r="M11" s="44"/>
    </row>
    <row r="12" spans="1:13" x14ac:dyDescent="0.25">
      <c r="A12" s="281" t="s">
        <v>653</v>
      </c>
      <c r="B12" s="282">
        <v>0.15</v>
      </c>
      <c r="C12" s="282">
        <v>0.33</v>
      </c>
      <c r="D12" s="44">
        <f t="shared" si="0"/>
        <v>0.18000000000000002</v>
      </c>
      <c r="E12" s="44"/>
      <c r="F12" s="44"/>
      <c r="H12" s="30"/>
      <c r="I12" s="44"/>
      <c r="J12" s="44"/>
      <c r="K12" s="44"/>
      <c r="L12" s="44"/>
      <c r="M12" s="44"/>
    </row>
    <row r="13" spans="1:13" x14ac:dyDescent="0.25">
      <c r="A13" s="281" t="s">
        <v>714</v>
      </c>
      <c r="B13" s="282">
        <v>0.06</v>
      </c>
      <c r="C13" s="282">
        <v>0.16</v>
      </c>
      <c r="D13" s="44">
        <f t="shared" si="0"/>
        <v>0.1</v>
      </c>
      <c r="E13"/>
      <c r="F13" s="76"/>
      <c r="H13" s="25"/>
      <c r="I13" s="25"/>
      <c r="J13" s="44"/>
      <c r="K13" s="30"/>
      <c r="M13" s="76"/>
    </row>
    <row r="14" spans="1:13" x14ac:dyDescent="0.25">
      <c r="A14" s="281" t="s">
        <v>705</v>
      </c>
      <c r="B14" s="282">
        <v>0.33</v>
      </c>
      <c r="C14" s="282">
        <v>0.37</v>
      </c>
      <c r="D14" s="44">
        <f t="shared" si="0"/>
        <v>3.999999999999998E-2</v>
      </c>
      <c r="E14"/>
      <c r="F14" s="76"/>
    </row>
    <row r="15" spans="1:13" x14ac:dyDescent="0.25">
      <c r="A15" s="281" t="s">
        <v>646</v>
      </c>
      <c r="B15" s="282">
        <v>0</v>
      </c>
      <c r="C15" s="282">
        <v>0.01</v>
      </c>
      <c r="D15" s="44">
        <f t="shared" si="0"/>
        <v>0.01</v>
      </c>
      <c r="E15"/>
      <c r="F15" s="76"/>
    </row>
    <row r="16" spans="1:13" x14ac:dyDescent="0.25">
      <c r="A16" s="281" t="s">
        <v>651</v>
      </c>
      <c r="B16" s="282">
        <v>0.08</v>
      </c>
      <c r="C16" s="282">
        <v>0.08</v>
      </c>
      <c r="D16" s="44">
        <f t="shared" si="0"/>
        <v>0</v>
      </c>
      <c r="E16" s="28"/>
      <c r="F16" s="28"/>
    </row>
    <row r="17" spans="1:12" x14ac:dyDescent="0.25">
      <c r="A17" s="281" t="s">
        <v>703</v>
      </c>
      <c r="B17" s="282">
        <v>0.17</v>
      </c>
      <c r="C17" s="282">
        <v>0.15</v>
      </c>
      <c r="D17" s="44">
        <f t="shared" si="0"/>
        <v>-2.0000000000000018E-2</v>
      </c>
      <c r="E17" s="28"/>
      <c r="F17" s="28"/>
      <c r="I17" s="26"/>
      <c r="J17" s="26"/>
      <c r="K17" s="26"/>
      <c r="L17" s="26"/>
    </row>
    <row r="18" spans="1:12" ht="16.5" customHeight="1" x14ac:dyDescent="0.25">
      <c r="A18" s="281" t="s">
        <v>715</v>
      </c>
      <c r="B18" s="282">
        <v>7.0000000000000007E-2</v>
      </c>
      <c r="C18" s="282">
        <v>0.05</v>
      </c>
      <c r="D18" s="44">
        <f t="shared" si="0"/>
        <v>-2.0000000000000004E-2</v>
      </c>
      <c r="E18" s="151"/>
      <c r="F18" s="151"/>
      <c r="G18" s="113"/>
    </row>
    <row r="19" spans="1:12" x14ac:dyDescent="0.25">
      <c r="A19" s="281" t="s">
        <v>716</v>
      </c>
      <c r="B19" s="282">
        <v>0.06</v>
      </c>
      <c r="C19" s="282">
        <v>0.02</v>
      </c>
      <c r="D19" s="44">
        <f t="shared" si="0"/>
        <v>-3.9999999999999994E-2</v>
      </c>
    </row>
    <row r="20" spans="1:12" x14ac:dyDescent="0.25">
      <c r="A20" s="281" t="s">
        <v>698</v>
      </c>
      <c r="B20" s="282">
        <v>0.46</v>
      </c>
      <c r="C20" s="282">
        <v>0.42</v>
      </c>
      <c r="D20" s="44">
        <f t="shared" si="0"/>
        <v>-4.0000000000000036E-2</v>
      </c>
    </row>
    <row r="21" spans="1:12" x14ac:dyDescent="0.25">
      <c r="A21" s="281" t="s">
        <v>717</v>
      </c>
      <c r="B21" s="282">
        <v>0.91</v>
      </c>
      <c r="C21" s="282">
        <v>0.86</v>
      </c>
      <c r="D21" s="44">
        <f t="shared" si="0"/>
        <v>-5.0000000000000044E-2</v>
      </c>
    </row>
    <row r="22" spans="1:12" x14ac:dyDescent="0.25">
      <c r="A22" s="281" t="s">
        <v>633</v>
      </c>
      <c r="B22" s="282">
        <v>0.55000000000000004</v>
      </c>
      <c r="C22" s="282">
        <v>0.48</v>
      </c>
      <c r="D22" s="44">
        <f t="shared" si="0"/>
        <v>-7.0000000000000062E-2</v>
      </c>
    </row>
    <row r="23" spans="1:12" x14ac:dyDescent="0.25">
      <c r="A23" s="281" t="s">
        <v>669</v>
      </c>
      <c r="B23" s="282">
        <v>0.19</v>
      </c>
      <c r="C23" s="282">
        <v>0.06</v>
      </c>
      <c r="D23" s="44">
        <f t="shared" si="0"/>
        <v>-0.13</v>
      </c>
    </row>
    <row r="24" spans="1:12" x14ac:dyDescent="0.25">
      <c r="A24" s="281" t="s">
        <v>718</v>
      </c>
      <c r="B24" s="282">
        <v>7.0000000000000007E-2</v>
      </c>
      <c r="C24" s="282">
        <v>-0.12</v>
      </c>
      <c r="D24" s="44">
        <f t="shared" si="0"/>
        <v>-0.19</v>
      </c>
    </row>
    <row r="25" spans="1:12" x14ac:dyDescent="0.25">
      <c r="A25" s="281" t="s">
        <v>649</v>
      </c>
      <c r="B25" s="282">
        <v>2.86</v>
      </c>
      <c r="C25" s="282">
        <v>2.58</v>
      </c>
      <c r="D25" s="44">
        <f t="shared" si="0"/>
        <v>-0.2799999999999998</v>
      </c>
    </row>
    <row r="26" spans="1:12" x14ac:dyDescent="0.25">
      <c r="A26" s="281" t="s">
        <v>685</v>
      </c>
      <c r="B26" s="282">
        <v>0.37</v>
      </c>
      <c r="C26" s="282">
        <v>7.0000000000000007E-2</v>
      </c>
      <c r="D26" s="44">
        <f t="shared" si="0"/>
        <v>-0.3</v>
      </c>
    </row>
    <row r="29" spans="1:12" x14ac:dyDescent="0.25">
      <c r="A29" s="114" t="s">
        <v>400</v>
      </c>
      <c r="B29" s="28" t="s">
        <v>719</v>
      </c>
    </row>
    <row r="30" spans="1:12" x14ac:dyDescent="0.25">
      <c r="A30" s="114"/>
      <c r="B30" s="28" t="s">
        <v>720</v>
      </c>
    </row>
    <row r="32" spans="1:12" x14ac:dyDescent="0.25">
      <c r="A32" s="114" t="s">
        <v>205</v>
      </c>
      <c r="B32" s="28" t="s">
        <v>721</v>
      </c>
    </row>
    <row r="33" spans="2:2" x14ac:dyDescent="0.25">
      <c r="B33" s="28" t="s">
        <v>722</v>
      </c>
    </row>
    <row r="34" spans="2:2" x14ac:dyDescent="0.25">
      <c r="B34" s="28" t="s">
        <v>723</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107DA-6BB6-4084-B9E6-9BB84008E6A1}">
  <sheetPr>
    <tabColor theme="9" tint="0.59999389629810485"/>
  </sheetPr>
  <dimension ref="A1:Q62"/>
  <sheetViews>
    <sheetView workbookViewId="0">
      <selection activeCell="A59" sqref="A59:B62"/>
    </sheetView>
  </sheetViews>
  <sheetFormatPr defaultRowHeight="15" x14ac:dyDescent="0.25"/>
  <cols>
    <col min="1" max="1" width="11.5703125" style="25" customWidth="1"/>
    <col min="2" max="3" width="10.5703125" style="25" customWidth="1"/>
    <col min="4" max="4" width="10.5703125" style="30" customWidth="1"/>
    <col min="5" max="6" width="10.5703125" style="25" customWidth="1"/>
    <col min="7" max="17" width="10.5703125" customWidth="1"/>
  </cols>
  <sheetData>
    <row r="1" spans="1:17" x14ac:dyDescent="0.25">
      <c r="A1" s="59" t="s">
        <v>97</v>
      </c>
      <c r="B1" s="92"/>
    </row>
    <row r="2" spans="1:17" x14ac:dyDescent="0.25">
      <c r="A2" s="28" t="s">
        <v>98</v>
      </c>
    </row>
    <row r="3" spans="1:17" x14ac:dyDescent="0.25">
      <c r="A3" s="28"/>
    </row>
    <row r="4" spans="1:17" x14ac:dyDescent="0.25">
      <c r="A4" s="59"/>
      <c r="H4" s="59"/>
      <c r="I4" s="25"/>
      <c r="J4" s="25"/>
      <c r="K4" s="30"/>
      <c r="L4" s="25"/>
      <c r="M4" s="25"/>
    </row>
    <row r="5" spans="1:17" s="31" customFormat="1" ht="18" customHeight="1" x14ac:dyDescent="0.25">
      <c r="A5" s="33" t="s">
        <v>614</v>
      </c>
      <c r="B5" s="204">
        <v>2010</v>
      </c>
      <c r="C5" s="204">
        <v>2011</v>
      </c>
      <c r="D5" s="204">
        <v>2012</v>
      </c>
      <c r="E5" s="204">
        <v>2013</v>
      </c>
      <c r="F5" s="204">
        <v>2014</v>
      </c>
      <c r="G5" s="204">
        <v>2015</v>
      </c>
      <c r="H5" s="204">
        <v>2016</v>
      </c>
      <c r="I5" s="204">
        <v>2017</v>
      </c>
      <c r="J5" s="204">
        <v>2018</v>
      </c>
      <c r="K5" s="204">
        <v>2019</v>
      </c>
      <c r="L5" s="204">
        <v>2020</v>
      </c>
      <c r="M5" s="204">
        <v>2021</v>
      </c>
      <c r="N5" s="204">
        <v>2022</v>
      </c>
      <c r="O5" s="204">
        <v>2023</v>
      </c>
      <c r="P5" s="204">
        <v>2024</v>
      </c>
      <c r="Q5" s="204">
        <v>2025</v>
      </c>
    </row>
    <row r="6" spans="1:17" x14ac:dyDescent="0.25">
      <c r="A6" t="s">
        <v>724</v>
      </c>
      <c r="B6" s="46">
        <v>1.4953059821655572E-6</v>
      </c>
      <c r="C6" s="46">
        <v>2.5126582278481009E-5</v>
      </c>
      <c r="D6" s="46">
        <v>3.9309813701041516E-5</v>
      </c>
      <c r="E6" s="46">
        <v>5.9760876909793908E-5</v>
      </c>
      <c r="F6" s="46">
        <v>9.2881446495873295E-5</v>
      </c>
      <c r="G6" s="46">
        <v>1.4590374678853521E-4</v>
      </c>
      <c r="H6" s="46">
        <v>2.2136284597131355E-4</v>
      </c>
      <c r="I6" s="46">
        <v>2.9234590441414206E-4</v>
      </c>
      <c r="J6" s="46">
        <v>4.6127142350577198E-4</v>
      </c>
      <c r="K6" s="46">
        <v>8.5369267005650851E-4</v>
      </c>
      <c r="L6" s="46">
        <v>1.2485418364709859E-3</v>
      </c>
      <c r="M6" s="46">
        <v>1.6754336621564358E-3</v>
      </c>
      <c r="N6" s="46">
        <v>1.9639504478899191E-3</v>
      </c>
      <c r="O6" s="46">
        <v>2.3660696119111547E-3</v>
      </c>
      <c r="P6" s="46">
        <v>2.608948725182152E-3</v>
      </c>
      <c r="Q6" s="46">
        <v>2.980992635040286E-3</v>
      </c>
    </row>
    <row r="7" spans="1:17" x14ac:dyDescent="0.25">
      <c r="A7" t="s">
        <v>725</v>
      </c>
      <c r="B7" s="46">
        <v>3.3379276234227226E-6</v>
      </c>
      <c r="C7" s="46">
        <v>3.2375910080870374E-6</v>
      </c>
      <c r="D7" s="46">
        <v>4.0470653759339741E-6</v>
      </c>
      <c r="E7" s="46">
        <v>7.7677430759218055E-6</v>
      </c>
      <c r="F7" s="46">
        <v>3.567712646532302E-5</v>
      </c>
      <c r="G7" s="46">
        <v>4.5829002199443587E-5</v>
      </c>
      <c r="H7" s="46">
        <v>9.2818828863367396E-7</v>
      </c>
      <c r="I7" s="46">
        <v>7.2093984505979763E-7</v>
      </c>
      <c r="J7" s="46">
        <v>3.0739268680445149E-6</v>
      </c>
      <c r="K7" s="46">
        <v>3.6321618039349234E-6</v>
      </c>
      <c r="L7" s="46">
        <v>1.3128828297590798E-5</v>
      </c>
      <c r="M7" s="46">
        <v>1.3519507610253307E-5</v>
      </c>
      <c r="N7" s="46">
        <v>1.5490903536116838E-5</v>
      </c>
      <c r="O7" s="46">
        <v>2.510180462382879E-5</v>
      </c>
      <c r="P7" s="46">
        <v>2.4118540941507142E-5</v>
      </c>
      <c r="Q7" s="46">
        <v>0</v>
      </c>
    </row>
    <row r="8" spans="1:17" x14ac:dyDescent="0.25">
      <c r="A8" t="s">
        <v>726</v>
      </c>
      <c r="B8" s="46">
        <v>1.7413688303889431E-5</v>
      </c>
      <c r="C8" s="46">
        <v>6.5584160554557348E-5</v>
      </c>
      <c r="D8" s="46">
        <v>8.0429564911752154E-5</v>
      </c>
      <c r="E8" s="46">
        <v>1.3489528244946199E-4</v>
      </c>
      <c r="F8" s="46">
        <v>1.1930273876755459E-4</v>
      </c>
      <c r="G8" s="46">
        <v>1.5280169134262983E-4</v>
      </c>
      <c r="H8" s="46">
        <v>1.9920911466691122E-4</v>
      </c>
      <c r="I8" s="46">
        <v>3.0185890317590381E-4</v>
      </c>
      <c r="J8" s="46">
        <v>5.2529014492719273E-4</v>
      </c>
      <c r="K8" s="46">
        <v>1.1898855526241436E-3</v>
      </c>
      <c r="L8" s="46">
        <v>2.0545549458796846E-3</v>
      </c>
      <c r="M8" s="46">
        <v>3.46008396281267E-3</v>
      </c>
      <c r="N8" s="46">
        <v>5.4191899549321356E-3</v>
      </c>
      <c r="O8" s="46">
        <v>7.6818229018672775E-3</v>
      </c>
      <c r="P8" s="46">
        <v>1.0058358609437042E-2</v>
      </c>
      <c r="Q8" s="46">
        <v>1.0093963999284737E-2</v>
      </c>
    </row>
    <row r="9" spans="1:17" x14ac:dyDescent="0.25">
      <c r="A9" t="s">
        <v>698</v>
      </c>
      <c r="B9" s="46">
        <v>3.7126089418096685E-3</v>
      </c>
      <c r="C9" s="46">
        <v>3.5961029725724626E-3</v>
      </c>
      <c r="D9" s="46">
        <v>7.1762420743046425E-3</v>
      </c>
      <c r="E9" s="46">
        <v>1.2103633217078438E-2</v>
      </c>
      <c r="F9" s="46">
        <v>1.5528768081192475E-2</v>
      </c>
      <c r="G9" s="46">
        <v>1.9233787014243317E-2</v>
      </c>
      <c r="H9" s="46">
        <v>2.1563177153271395E-2</v>
      </c>
      <c r="I9" s="46">
        <v>2.6682701355018486E-2</v>
      </c>
      <c r="J9" s="46">
        <v>3.160118891913849E-2</v>
      </c>
      <c r="K9" s="46">
        <v>3.6411058240796865E-2</v>
      </c>
      <c r="L9" s="46">
        <v>3.9591223494961678E-2</v>
      </c>
      <c r="M9" s="46">
        <v>4.7168866940915731E-2</v>
      </c>
      <c r="N9" s="46">
        <v>5.3300790191630414E-2</v>
      </c>
      <c r="O9" s="46">
        <v>6.0337217776250285E-2</v>
      </c>
      <c r="P9" s="46">
        <v>6.1648230359942262E-2</v>
      </c>
      <c r="Q9" s="46">
        <v>6.5492622540452738E-2</v>
      </c>
    </row>
    <row r="10" spans="1:17" x14ac:dyDescent="0.25">
      <c r="A10" t="s">
        <v>676</v>
      </c>
      <c r="B10" s="46">
        <v>5.4367256446888725E-3</v>
      </c>
      <c r="C10" s="46">
        <v>7.7140260506703999E-3</v>
      </c>
      <c r="D10" s="46">
        <v>1.0674205703981691E-2</v>
      </c>
      <c r="E10" s="46">
        <v>1.6663611489014199E-2</v>
      </c>
      <c r="F10" s="46">
        <v>1.9019887296998512E-2</v>
      </c>
      <c r="G10" s="46">
        <v>2.6495353713718132E-2</v>
      </c>
      <c r="H10" s="46">
        <v>3.5273241176539287E-2</v>
      </c>
      <c r="I10" s="46">
        <v>4.4389418404611726E-2</v>
      </c>
      <c r="J10" s="46">
        <v>5.3101568449214626E-2</v>
      </c>
      <c r="K10" s="46">
        <v>6.3050979890955872E-2</v>
      </c>
      <c r="L10" s="46">
        <v>7.2687174742386229E-2</v>
      </c>
      <c r="M10" s="46">
        <v>8.501386745970381E-2</v>
      </c>
      <c r="N10" s="46">
        <v>9.7340520247103254E-2</v>
      </c>
      <c r="O10" s="46">
        <v>0.11980022656933156</v>
      </c>
      <c r="P10" s="46">
        <v>0.12824528859000636</v>
      </c>
      <c r="Q10" s="46">
        <v>0.14612563891301175</v>
      </c>
    </row>
    <row r="11" spans="1:17" x14ac:dyDescent="0.25">
      <c r="A11" t="s">
        <v>685</v>
      </c>
      <c r="B11" s="46">
        <v>1.7428089630349283E-3</v>
      </c>
      <c r="C11" s="46">
        <v>4.2056066004537915E-3</v>
      </c>
      <c r="D11" s="46">
        <v>5.4258183631094243E-3</v>
      </c>
      <c r="E11" s="46">
        <v>6.729122280999522E-3</v>
      </c>
      <c r="F11" s="46">
        <v>8.453256814383709E-3</v>
      </c>
      <c r="G11" s="46">
        <v>9.9454493180227248E-3</v>
      </c>
      <c r="H11" s="46">
        <v>1.0557161718013726E-2</v>
      </c>
      <c r="I11" s="46">
        <v>1.0006400553582734E-2</v>
      </c>
      <c r="J11" s="46">
        <v>1.070971222841661E-2</v>
      </c>
      <c r="K11" s="46">
        <v>1.1619650395428246E-2</v>
      </c>
      <c r="L11" s="46">
        <v>1.383113931888545E-2</v>
      </c>
      <c r="M11" s="46">
        <v>2.1610209662754561E-2</v>
      </c>
      <c r="N11" s="46">
        <v>2.566892059968642E-2</v>
      </c>
      <c r="O11" s="46">
        <v>3.3135116946249397E-2</v>
      </c>
      <c r="P11" s="46">
        <v>3.5776044709318028E-2</v>
      </c>
      <c r="Q11" s="46">
        <v>3.9119665117476762E-2</v>
      </c>
    </row>
    <row r="12" spans="1:17" x14ac:dyDescent="0.25">
      <c r="A12" t="s">
        <v>638</v>
      </c>
      <c r="B12" s="46">
        <v>8.0527615626403237E-4</v>
      </c>
      <c r="C12" s="46">
        <v>2.1384771169595139E-3</v>
      </c>
      <c r="D12" s="46">
        <v>2.6303216824502757E-3</v>
      </c>
      <c r="E12" s="46">
        <v>2.9494514866130858E-3</v>
      </c>
      <c r="F12" s="46">
        <v>4.8982227895586934E-3</v>
      </c>
      <c r="G12" s="46">
        <v>8.4389616278048741E-3</v>
      </c>
      <c r="H12" s="46">
        <v>1.2451393640446746E-2</v>
      </c>
      <c r="I12" s="46">
        <v>1.5938430187827191E-2</v>
      </c>
      <c r="J12" s="46">
        <v>1.9498378507399352E-2</v>
      </c>
      <c r="K12" s="46">
        <v>2.4790780181319839E-2</v>
      </c>
      <c r="L12" s="46">
        <v>3.0101809701087785E-2</v>
      </c>
      <c r="M12" s="46">
        <v>3.413163004245609E-2</v>
      </c>
      <c r="N12" s="46">
        <v>3.8317997580708377E-2</v>
      </c>
      <c r="O12" s="46">
        <v>4.920475684731454E-2</v>
      </c>
      <c r="P12" s="46">
        <v>5.5674461671473462E-2</v>
      </c>
      <c r="Q12" s="46">
        <v>6.5826780473233912E-2</v>
      </c>
    </row>
    <row r="13" spans="1:17" x14ac:dyDescent="0.25">
      <c r="A13" t="s">
        <v>727</v>
      </c>
      <c r="B13" s="46">
        <v>3.0531377997018456E-4</v>
      </c>
      <c r="C13" s="46">
        <v>9.3089939660347782E-4</v>
      </c>
      <c r="D13" s="46">
        <v>1.4422678850383747E-3</v>
      </c>
      <c r="E13" s="46">
        <v>2.0803973214759473E-3</v>
      </c>
      <c r="F13" s="46">
        <v>2.5934754963268134E-3</v>
      </c>
      <c r="G13" s="46">
        <v>3.1078258060818873E-3</v>
      </c>
      <c r="H13" s="46">
        <v>3.5296013381655978E-3</v>
      </c>
      <c r="I13" s="46">
        <v>4.9655478197141809E-3</v>
      </c>
      <c r="J13" s="46">
        <v>6.4516967568855324E-3</v>
      </c>
      <c r="K13" s="46">
        <v>8.827928481512301E-3</v>
      </c>
      <c r="L13" s="46">
        <v>1.2331522823721764E-2</v>
      </c>
      <c r="M13" s="46">
        <v>1.4794802667273397E-2</v>
      </c>
      <c r="N13" s="46">
        <v>1.6935727626727317E-2</v>
      </c>
      <c r="O13" s="46">
        <v>2.1190530602524411E-2</v>
      </c>
      <c r="P13" s="46">
        <v>2.470770383515725E-2</v>
      </c>
      <c r="Q13" s="46">
        <v>2.932847458600665E-2</v>
      </c>
    </row>
    <row r="14" spans="1:17" x14ac:dyDescent="0.25">
      <c r="A14" t="s">
        <v>728</v>
      </c>
      <c r="B14" s="46">
        <v>1.9633658047054766E-3</v>
      </c>
      <c r="C14" s="46">
        <v>3.3285009553764896E-3</v>
      </c>
      <c r="D14" s="46">
        <v>4.3629195753307837E-3</v>
      </c>
      <c r="E14" s="46">
        <v>5.1966410251093748E-3</v>
      </c>
      <c r="F14" s="46">
        <v>6.2965643904413062E-3</v>
      </c>
      <c r="G14" s="46">
        <v>8.3502358466434039E-3</v>
      </c>
      <c r="H14" s="46">
        <v>7.5370821272193345E-3</v>
      </c>
      <c r="I14" s="46">
        <v>9.8659675569392098E-3</v>
      </c>
      <c r="J14" s="46">
        <v>1.0148321433389462E-2</v>
      </c>
      <c r="K14" s="46">
        <v>1.1297391946577218E-2</v>
      </c>
      <c r="L14" s="46">
        <v>1.1846894969687037E-2</v>
      </c>
      <c r="M14" s="46">
        <v>1.2980479606476738E-2</v>
      </c>
      <c r="N14" s="46">
        <v>1.4629576423688465E-2</v>
      </c>
      <c r="O14" s="46">
        <v>1.7497984012229694E-2</v>
      </c>
      <c r="P14" s="46">
        <v>1.9197112092595076E-2</v>
      </c>
      <c r="Q14" s="46">
        <v>2.0363931594403178E-2</v>
      </c>
    </row>
    <row r="15" spans="1:17" x14ac:dyDescent="0.25">
      <c r="A15" t="s">
        <v>619</v>
      </c>
      <c r="B15" s="46">
        <v>1.7233185008790069E-4</v>
      </c>
      <c r="C15" s="46">
        <v>2.6556174915654646E-4</v>
      </c>
      <c r="D15" s="46">
        <v>3.9864223456586754E-4</v>
      </c>
      <c r="E15" s="46">
        <v>5.3377874379744697E-4</v>
      </c>
      <c r="F15" s="46">
        <v>6.4940483320956907E-4</v>
      </c>
      <c r="G15" s="46">
        <v>8.8118887950937568E-4</v>
      </c>
      <c r="H15" s="46">
        <v>9.400711007033711E-4</v>
      </c>
      <c r="I15" s="46">
        <v>1.3430098785584448E-3</v>
      </c>
      <c r="J15" s="46">
        <v>1.9371359094389122E-3</v>
      </c>
      <c r="K15" s="46">
        <v>3.2480692407773431E-3</v>
      </c>
      <c r="L15" s="46">
        <v>5.1562726593359668E-3</v>
      </c>
      <c r="M15" s="46">
        <v>7.6938486526659565E-3</v>
      </c>
      <c r="N15" s="46">
        <v>1.1183024073294362E-2</v>
      </c>
      <c r="O15" s="46">
        <v>1.6312179972714357E-2</v>
      </c>
      <c r="P15" s="46">
        <v>1.7614788437525581E-2</v>
      </c>
      <c r="Q15" s="46">
        <v>1.9648311802182104E-2</v>
      </c>
    </row>
    <row r="16" spans="1:17" x14ac:dyDescent="0.25">
      <c r="A16" t="s">
        <v>655</v>
      </c>
      <c r="B16" s="46">
        <v>3.3070672536530528E-5</v>
      </c>
      <c r="C16" s="46">
        <v>9.2826359925583609E-5</v>
      </c>
      <c r="D16" s="46">
        <v>1.3337387268637135E-4</v>
      </c>
      <c r="E16" s="46">
        <v>1.6629032265334925E-4</v>
      </c>
      <c r="F16" s="46">
        <v>7.0976902050311262E-4</v>
      </c>
      <c r="G16" s="46">
        <v>1.1685338404780067E-3</v>
      </c>
      <c r="H16" s="46">
        <v>6.6656984271929348E-5</v>
      </c>
      <c r="I16" s="46">
        <v>9.2410730224187668E-5</v>
      </c>
      <c r="J16" s="46">
        <v>1.0907200253015282E-4</v>
      </c>
      <c r="K16" s="46">
        <v>1.4861288525862534E-4</v>
      </c>
      <c r="L16" s="46">
        <v>2.5788073107417845E-4</v>
      </c>
      <c r="M16" s="46">
        <v>4.126369697000842E-4</v>
      </c>
      <c r="N16" s="46">
        <v>5.5239157282522069E-4</v>
      </c>
      <c r="O16" s="46">
        <v>1.3014535142574443E-3</v>
      </c>
      <c r="P16" s="46">
        <v>1.8686035039065625E-3</v>
      </c>
      <c r="Q16" s="46">
        <v>2.185676133886867E-3</v>
      </c>
    </row>
    <row r="17" spans="1:17" x14ac:dyDescent="0.25">
      <c r="A17" t="s">
        <v>681</v>
      </c>
      <c r="B17" s="46">
        <v>7.8963409263076295E-3</v>
      </c>
      <c r="C17" s="46">
        <v>1.4324645417291591E-2</v>
      </c>
      <c r="D17" s="46">
        <v>3.0865613347735604E-2</v>
      </c>
      <c r="E17" s="46">
        <v>5.2139435843789279E-2</v>
      </c>
      <c r="F17" s="46">
        <v>6.9089293807232666E-2</v>
      </c>
      <c r="G17" s="46">
        <v>7.9694055799167537E-2</v>
      </c>
      <c r="H17" s="46">
        <v>7.8293426338243086E-2</v>
      </c>
      <c r="I17" s="46">
        <v>9.6367663461781106E-2</v>
      </c>
      <c r="J17" s="46">
        <v>8.7679287338797568E-2</v>
      </c>
      <c r="K17" s="46">
        <v>9.4876696473575176E-2</v>
      </c>
      <c r="L17" s="46">
        <v>0.10721753271502987</v>
      </c>
      <c r="M17" s="46">
        <v>0.10911056927694983</v>
      </c>
      <c r="N17" s="46">
        <v>0.11122995125697144</v>
      </c>
      <c r="O17" s="46">
        <v>0.11882646564618903</v>
      </c>
      <c r="P17" s="46">
        <v>0.12753222414971352</v>
      </c>
      <c r="Q17" s="46">
        <v>0.1350075851901448</v>
      </c>
    </row>
    <row r="18" spans="1:17" ht="16.5" customHeight="1" x14ac:dyDescent="0.25">
      <c r="A18" t="s">
        <v>729</v>
      </c>
      <c r="B18" s="46">
        <v>3.220948399163823E-4</v>
      </c>
      <c r="C18" s="46">
        <v>4.4945789070200419E-5</v>
      </c>
      <c r="D18" s="46">
        <v>5.4104005775667803E-4</v>
      </c>
      <c r="E18" s="46">
        <v>2.4727459586768009E-4</v>
      </c>
      <c r="F18" s="46">
        <v>8.0724037117071339E-4</v>
      </c>
      <c r="G18" s="46">
        <v>1.1653000190892317E-3</v>
      </c>
      <c r="H18" s="46">
        <v>1.3181012161632012E-3</v>
      </c>
      <c r="I18" s="46">
        <v>1.9546674297861904E-3</v>
      </c>
      <c r="J18" s="46">
        <v>2.5005455859092775E-3</v>
      </c>
      <c r="K18" s="46">
        <v>3.1632842897165135E-3</v>
      </c>
      <c r="L18" s="46">
        <v>3.8275545023696684E-3</v>
      </c>
      <c r="M18" s="46">
        <v>4.5436772351728971E-3</v>
      </c>
      <c r="N18" s="46">
        <v>5.6447848867242278E-3</v>
      </c>
      <c r="O18" s="46">
        <v>7.0664632352941204E-3</v>
      </c>
      <c r="P18" s="46">
        <v>8.2104350992171851E-3</v>
      </c>
      <c r="Q18" s="46">
        <v>9.2980617401994241E-3</v>
      </c>
    </row>
    <row r="19" spans="1:17" x14ac:dyDescent="0.25">
      <c r="A19" t="s">
        <v>693</v>
      </c>
      <c r="B19" s="46">
        <v>2.1836280788304445E-5</v>
      </c>
      <c r="C19" s="46">
        <v>1.0833771459769883E-4</v>
      </c>
      <c r="D19" s="46">
        <v>1.503482972136223E-4</v>
      </c>
      <c r="E19" s="46">
        <v>1.8813129349558725E-4</v>
      </c>
      <c r="F19" s="46">
        <v>2.5470995870478352E-4</v>
      </c>
      <c r="G19" s="46">
        <v>3.8742024933482658E-4</v>
      </c>
      <c r="H19" s="46">
        <v>6.1177133733430946E-4</v>
      </c>
      <c r="I19" s="46">
        <v>9.2536996474642673E-4</v>
      </c>
      <c r="J19" s="46">
        <v>1.7793560465358157E-3</v>
      </c>
      <c r="K19" s="46">
        <v>2.9624294595887142E-3</v>
      </c>
      <c r="L19" s="46">
        <v>3.9805346806561226E-3</v>
      </c>
      <c r="M19" s="46">
        <v>5.6976878626163758E-3</v>
      </c>
      <c r="N19" s="46">
        <v>7.6239725919756106E-3</v>
      </c>
      <c r="O19" s="46">
        <v>9.7390628651554106E-3</v>
      </c>
      <c r="P19" s="46">
        <v>1.0799848089406414E-2</v>
      </c>
      <c r="Q19" s="46">
        <v>1.1856265364354699E-2</v>
      </c>
    </row>
    <row r="20" spans="1:17" x14ac:dyDescent="0.25">
      <c r="A20" t="s">
        <v>714</v>
      </c>
      <c r="B20" s="46">
        <v>1.7681070259011098E-5</v>
      </c>
      <c r="C20" s="46">
        <v>3.8150034869426972E-5</v>
      </c>
      <c r="D20" s="46">
        <v>7.2771680777647537E-5</v>
      </c>
      <c r="E20" s="46">
        <v>1.3822122757639423E-4</v>
      </c>
      <c r="F20" s="46">
        <v>1.7291673939605513E-4</v>
      </c>
      <c r="G20" s="46">
        <v>2.3094421482342754E-4</v>
      </c>
      <c r="H20" s="46">
        <v>1.8909379652605457E-4</v>
      </c>
      <c r="I20" s="46">
        <v>3.3797624008931836E-4</v>
      </c>
      <c r="J20" s="46">
        <v>5.8101349409414333E-4</v>
      </c>
      <c r="K20" s="46">
        <v>1.5605028274368331E-3</v>
      </c>
      <c r="L20" s="46">
        <v>3.6912012000143873E-3</v>
      </c>
      <c r="M20" s="46">
        <v>5.0061416396404755E-3</v>
      </c>
      <c r="N20" s="46">
        <v>6.4023467069352471E-3</v>
      </c>
      <c r="O20" s="46">
        <v>9.5372281611261454E-3</v>
      </c>
      <c r="P20" s="46">
        <v>1.2831940107529876E-2</v>
      </c>
      <c r="Q20" s="46">
        <v>1.5449106913757784E-2</v>
      </c>
    </row>
    <row r="21" spans="1:17" x14ac:dyDescent="0.25">
      <c r="A21" t="s">
        <v>730</v>
      </c>
      <c r="B21" s="46">
        <v>8.9665452761477073E-6</v>
      </c>
      <c r="C21" s="46">
        <v>2.4767052864352004E-5</v>
      </c>
      <c r="D21" s="46">
        <v>7.9275099122398334E-5</v>
      </c>
      <c r="E21" s="46">
        <v>8.642429872875332E-5</v>
      </c>
      <c r="F21" s="46">
        <v>1.1363212178450202E-4</v>
      </c>
      <c r="G21" s="46">
        <v>1.8134507008563366E-4</v>
      </c>
      <c r="H21" s="46">
        <v>1.91787088375681E-4</v>
      </c>
      <c r="I21" s="46">
        <v>6.0924196188590031E-4</v>
      </c>
      <c r="J21" s="46">
        <v>9.8376182889609769E-4</v>
      </c>
      <c r="K21" s="46">
        <v>1.3137334482488444E-3</v>
      </c>
      <c r="L21" s="46">
        <v>1.7980139157643374E-3</v>
      </c>
      <c r="M21" s="46">
        <v>2.2983982354120719E-3</v>
      </c>
      <c r="N21" s="46">
        <v>2.9516948542641238E-3</v>
      </c>
      <c r="O21" s="46">
        <v>3.3852713162143854E-3</v>
      </c>
      <c r="P21" s="46">
        <v>3.6777472283813749E-3</v>
      </c>
      <c r="Q21" s="46">
        <v>3.8310481509754848E-3</v>
      </c>
    </row>
    <row r="22" spans="1:17" x14ac:dyDescent="0.25">
      <c r="A22" t="s">
        <v>731</v>
      </c>
      <c r="B22" s="46">
        <v>0</v>
      </c>
      <c r="C22" s="46">
        <v>2.8710673670842239E-5</v>
      </c>
      <c r="D22" s="46">
        <v>4.1724368997096268E-5</v>
      </c>
      <c r="E22" s="46">
        <v>6.0391586051942813E-5</v>
      </c>
      <c r="F22" s="46">
        <v>1.1040518944129105E-4</v>
      </c>
      <c r="G22" s="46">
        <v>2.5660999685577759E-4</v>
      </c>
      <c r="H22" s="46">
        <v>2.9172270348962903E-4</v>
      </c>
      <c r="I22" s="46">
        <v>4.9306323879829924E-4</v>
      </c>
      <c r="J22" s="46">
        <v>7.4105304990421605E-4</v>
      </c>
      <c r="K22" s="46">
        <v>1.0046787000514493E-3</v>
      </c>
      <c r="L22" s="46">
        <v>1.0439435780390568E-3</v>
      </c>
      <c r="M22" s="46">
        <v>1.4207338849794584E-3</v>
      </c>
      <c r="N22" s="46">
        <v>1.9156547045786208E-3</v>
      </c>
      <c r="O22" s="46">
        <v>2.851488814760046E-3</v>
      </c>
      <c r="P22" s="46">
        <v>3.3695781210346365E-3</v>
      </c>
      <c r="Q22" s="46">
        <v>4.2033514737767116E-3</v>
      </c>
    </row>
    <row r="23" spans="1:17" x14ac:dyDescent="0.25">
      <c r="A23" t="s">
        <v>732</v>
      </c>
      <c r="B23" s="46">
        <v>9.4414125341915013E-6</v>
      </c>
      <c r="C23" s="46">
        <v>3.2996046371373051E-5</v>
      </c>
      <c r="D23" s="46">
        <v>3.854457873347884E-5</v>
      </c>
      <c r="E23" s="46">
        <v>3.3043356363828151E-5</v>
      </c>
      <c r="F23" s="46">
        <v>1.8024181821030649E-4</v>
      </c>
      <c r="G23" s="46">
        <v>2.2877999911809964E-4</v>
      </c>
      <c r="H23" s="46">
        <v>1.1299708541302082E-4</v>
      </c>
      <c r="I23" s="46">
        <v>1.6363778752131962E-4</v>
      </c>
      <c r="J23" s="46">
        <v>1.9223224740418936E-4</v>
      </c>
      <c r="K23" s="46">
        <v>2.9898865219988061E-4</v>
      </c>
      <c r="L23" s="46">
        <v>4.6448415533344259E-4</v>
      </c>
      <c r="M23" s="46">
        <v>7.4058877997835472E-4</v>
      </c>
      <c r="N23" s="46">
        <v>1.1219839580000359E-3</v>
      </c>
      <c r="O23" s="46">
        <v>1.5743456137351528E-3</v>
      </c>
      <c r="P23" s="46">
        <v>1.7626560792851939E-3</v>
      </c>
      <c r="Q23" s="46">
        <v>1.9421716798786327E-3</v>
      </c>
    </row>
    <row r="24" spans="1:17" x14ac:dyDescent="0.25">
      <c r="A24" t="s">
        <v>627</v>
      </c>
      <c r="B24" s="46">
        <v>1.1531154069526258E-4</v>
      </c>
      <c r="C24" s="46">
        <v>1.5612300982174293E-4</v>
      </c>
      <c r="D24" s="46">
        <v>4.3337232640043539E-4</v>
      </c>
      <c r="E24" s="46">
        <v>9.0875146702350522E-4</v>
      </c>
      <c r="F24" s="46">
        <v>1.4472298653318417E-3</v>
      </c>
      <c r="G24" s="46">
        <v>1.9911546289618429E-3</v>
      </c>
      <c r="H24" s="46">
        <v>2.1749590435717219E-3</v>
      </c>
      <c r="I24" s="46">
        <v>1.9370857954391543E-3</v>
      </c>
      <c r="J24" s="46">
        <v>2.1303625491986443E-3</v>
      </c>
      <c r="K24" s="46">
        <v>2.2958946887713634E-3</v>
      </c>
      <c r="L24" s="46">
        <v>2.4415921497347795E-3</v>
      </c>
      <c r="M24" s="46">
        <v>2.4840347348928675E-3</v>
      </c>
      <c r="N24" s="46">
        <v>2.453241109138765E-3</v>
      </c>
      <c r="O24" s="46">
        <v>2.8230348633676208E-3</v>
      </c>
      <c r="P24" s="46">
        <v>3.09470313725079E-3</v>
      </c>
      <c r="Q24" s="46">
        <v>3.5547405437015493E-3</v>
      </c>
    </row>
    <row r="25" spans="1:17" x14ac:dyDescent="0.25">
      <c r="A25" t="s">
        <v>649</v>
      </c>
      <c r="B25" s="46">
        <v>4.072148954114496E-3</v>
      </c>
      <c r="C25" s="46">
        <v>2.3734617705278979E-3</v>
      </c>
      <c r="D25" s="46">
        <v>5.0555306113550585E-3</v>
      </c>
      <c r="E25" s="46">
        <v>1.3388387714807265E-2</v>
      </c>
      <c r="F25" s="46">
        <v>1.5960286790219581E-2</v>
      </c>
      <c r="G25" s="46">
        <v>2.2288003428976359E-2</v>
      </c>
      <c r="H25" s="46">
        <v>2.5977236539316152E-2</v>
      </c>
      <c r="I25" s="46">
        <v>3.3789266299325327E-2</v>
      </c>
      <c r="J25" s="46">
        <v>3.9424491298180153E-2</v>
      </c>
      <c r="K25" s="46">
        <v>4.4686210908540913E-2</v>
      </c>
      <c r="L25" s="46">
        <v>4.9307382553493311E-2</v>
      </c>
      <c r="M25" s="46">
        <v>5.280037157553677E-2</v>
      </c>
      <c r="N25" s="46">
        <v>7.2552569518559248E-2</v>
      </c>
      <c r="O25" s="46">
        <v>7.7280568522378162E-2</v>
      </c>
      <c r="P25" s="46">
        <v>8.717424881832779E-2</v>
      </c>
      <c r="Q25" s="46">
        <v>8.7469366539449325E-2</v>
      </c>
    </row>
    <row r="26" spans="1:17" x14ac:dyDescent="0.25">
      <c r="A26" t="s">
        <v>712</v>
      </c>
      <c r="B26" s="46">
        <v>3.6175691796577818E-4</v>
      </c>
      <c r="C26" s="46">
        <v>1.1021561228264894E-3</v>
      </c>
      <c r="D26" s="46">
        <v>2.0525135177829504E-3</v>
      </c>
      <c r="E26" s="46">
        <v>3.116460647943567E-3</v>
      </c>
      <c r="F26" s="46">
        <v>4.4399575063797658E-3</v>
      </c>
      <c r="G26" s="46">
        <v>8.4441471054771348E-3</v>
      </c>
      <c r="H26" s="46">
        <v>1.1928936988623396E-2</v>
      </c>
      <c r="I26" s="46">
        <v>1.5674025916315535E-2</v>
      </c>
      <c r="J26" s="46">
        <v>1.719562072343675E-2</v>
      </c>
      <c r="K26" s="46">
        <v>1.9446796137008514E-2</v>
      </c>
      <c r="L26" s="46">
        <v>2.1621603257346949E-2</v>
      </c>
      <c r="M26" s="46">
        <v>2.2802474270161327E-2</v>
      </c>
      <c r="N26" s="46">
        <v>2.5034613344424615E-2</v>
      </c>
      <c r="O26" s="46">
        <v>2.7142627395285078E-2</v>
      </c>
      <c r="P26" s="46">
        <v>2.8063165142232355E-2</v>
      </c>
      <c r="Q26" s="46">
        <v>3.177175383149243E-2</v>
      </c>
    </row>
    <row r="27" spans="1:17" x14ac:dyDescent="0.25">
      <c r="A27" t="s">
        <v>622</v>
      </c>
      <c r="B27" s="46">
        <v>4.1394788924935228E-4</v>
      </c>
      <c r="C27" s="46">
        <v>7.8493210687691629E-4</v>
      </c>
      <c r="D27" s="46">
        <v>6.5648707368078281E-4</v>
      </c>
      <c r="E27" s="46">
        <v>9.8317413848711139E-4</v>
      </c>
      <c r="F27" s="46">
        <v>1.3653684618061173E-3</v>
      </c>
      <c r="G27" s="46">
        <v>2.1593856385084317E-3</v>
      </c>
      <c r="H27" s="46">
        <v>3.1407952402727184E-3</v>
      </c>
      <c r="I27" s="46">
        <v>4.3003724336176411E-3</v>
      </c>
      <c r="J27" s="46">
        <v>5.2227485895207952E-3</v>
      </c>
      <c r="K27" s="46">
        <v>7.6231122520607278E-3</v>
      </c>
      <c r="L27" s="46">
        <v>9.5360162572123257E-3</v>
      </c>
      <c r="M27" s="46">
        <v>1.5989649902256976E-2</v>
      </c>
      <c r="N27" s="46">
        <v>3.953106017078438E-2</v>
      </c>
      <c r="O27" s="46">
        <v>7.2799634688031883E-2</v>
      </c>
      <c r="P27" s="46">
        <v>0.1158846971692927</v>
      </c>
      <c r="Q27" s="46">
        <v>0.13064828997649616</v>
      </c>
    </row>
    <row r="28" spans="1:17" x14ac:dyDescent="0.25">
      <c r="A28" t="s">
        <v>718</v>
      </c>
      <c r="B28" s="46">
        <v>6.7900203912185514E-5</v>
      </c>
      <c r="C28" s="46">
        <v>1.2115046715470698E-4</v>
      </c>
      <c r="D28" s="46">
        <v>2.7641794797256416E-4</v>
      </c>
      <c r="E28" s="46">
        <v>3.4142261621354999E-4</v>
      </c>
      <c r="F28" s="46">
        <v>3.995220737693998E-4</v>
      </c>
      <c r="G28" s="46">
        <v>4.5614767874362858E-4</v>
      </c>
      <c r="H28" s="46">
        <v>2.8722981875677105E-4</v>
      </c>
      <c r="I28" s="46">
        <v>3.7766836019287851E-4</v>
      </c>
      <c r="J28" s="46">
        <v>5.253243794919488E-4</v>
      </c>
      <c r="K28" s="46">
        <v>8.8495709761548841E-4</v>
      </c>
      <c r="L28" s="46">
        <v>1.3095026449123338E-3</v>
      </c>
      <c r="M28" s="46">
        <v>1.6181444006173895E-3</v>
      </c>
      <c r="N28" s="46">
        <v>2.0454824261206183E-3</v>
      </c>
      <c r="O28" s="46">
        <v>2.5513255411500693E-3</v>
      </c>
      <c r="P28" s="46">
        <v>3.0342819044155526E-3</v>
      </c>
      <c r="Q28" s="46">
        <v>3.6932581436258157E-3</v>
      </c>
    </row>
    <row r="29" spans="1:17" x14ac:dyDescent="0.25">
      <c r="A29" t="s">
        <v>733</v>
      </c>
      <c r="B29" s="46">
        <v>1.907889987853548E-4</v>
      </c>
      <c r="C29" s="46">
        <v>9.6697597808183421E-5</v>
      </c>
      <c r="D29" s="46">
        <v>2.4468196844991343E-4</v>
      </c>
      <c r="E29" s="46">
        <v>2.6750979478091559E-4</v>
      </c>
      <c r="F29" s="46">
        <v>3.8739855318719094E-4</v>
      </c>
      <c r="G29" s="46">
        <v>5.9821540620032991E-4</v>
      </c>
      <c r="H29" s="46">
        <v>8.4389653508143837E-4</v>
      </c>
      <c r="I29" s="46">
        <v>1.0536910882173371E-3</v>
      </c>
      <c r="J29" s="46">
        <v>1.3757885202168424E-3</v>
      </c>
      <c r="K29" s="46">
        <v>1.9511939684932302E-3</v>
      </c>
      <c r="L29" s="46">
        <v>2.4421911868017835E-3</v>
      </c>
      <c r="M29" s="46">
        <v>3.1246504236258766E-3</v>
      </c>
      <c r="N29" s="46">
        <v>4.1719269947342649E-3</v>
      </c>
      <c r="O29" s="46">
        <v>5.5416126189511685E-3</v>
      </c>
      <c r="P29" s="46">
        <v>6.8562735318717779E-3</v>
      </c>
      <c r="Q29" s="46">
        <v>8.3446252055843773E-3</v>
      </c>
    </row>
    <row r="30" spans="1:17" x14ac:dyDescent="0.25">
      <c r="A30" t="s">
        <v>716</v>
      </c>
      <c r="B30" s="46">
        <v>2.7260471011893174E-5</v>
      </c>
      <c r="C30" s="46">
        <v>1.237686714351042E-4</v>
      </c>
      <c r="D30" s="46">
        <v>4.7131608147595798E-4</v>
      </c>
      <c r="E30" s="46">
        <v>1.0471153429779841E-3</v>
      </c>
      <c r="F30" s="46">
        <v>1.8764917253770534E-3</v>
      </c>
      <c r="G30" s="46">
        <v>2.1955077051433059E-3</v>
      </c>
      <c r="H30" s="46">
        <v>2.6147676553640617E-3</v>
      </c>
      <c r="I30" s="46">
        <v>2.6933283019332428E-3</v>
      </c>
      <c r="J30" s="46">
        <v>2.8540263751010795E-3</v>
      </c>
      <c r="K30" s="46">
        <v>3.9010209415882313E-3</v>
      </c>
      <c r="L30" s="46">
        <v>4.6102247576790024E-3</v>
      </c>
      <c r="M30" s="46">
        <v>5.4502138246602999E-3</v>
      </c>
      <c r="N30" s="46">
        <v>6.2913258550749271E-3</v>
      </c>
      <c r="O30" s="46">
        <v>7.5870442276890016E-3</v>
      </c>
      <c r="P30" s="46">
        <v>8.1961642182073399E-3</v>
      </c>
      <c r="Q30" s="46">
        <v>9.4656965588741926E-3</v>
      </c>
    </row>
    <row r="31" spans="1:17" x14ac:dyDescent="0.25">
      <c r="A31" t="s">
        <v>734</v>
      </c>
      <c r="B31" s="46">
        <v>0</v>
      </c>
      <c r="C31" s="46">
        <v>9.2352154287472005E-7</v>
      </c>
      <c r="D31" s="46">
        <v>1.2555373476165698E-6</v>
      </c>
      <c r="E31" s="46">
        <v>7.4007698114299643E-5</v>
      </c>
      <c r="F31" s="46">
        <v>4.8046331163767491E-5</v>
      </c>
      <c r="G31" s="46">
        <v>1.124488380746203E-4</v>
      </c>
      <c r="H31" s="46">
        <v>6.1712850032979546E-5</v>
      </c>
      <c r="I31" s="46">
        <v>9.9298776400731517E-5</v>
      </c>
      <c r="J31" s="46">
        <v>1.355457315293651E-4</v>
      </c>
      <c r="K31" s="46">
        <v>1.5343062149784838E-4</v>
      </c>
      <c r="L31" s="46">
        <v>1.9020420301849923E-4</v>
      </c>
      <c r="M31" s="46">
        <v>2.2816357633337621E-4</v>
      </c>
      <c r="N31" s="46">
        <v>2.8615156246246962E-4</v>
      </c>
      <c r="O31" s="46">
        <v>3.4029400831415952E-4</v>
      </c>
      <c r="P31" s="46">
        <v>4.4957925197397426E-4</v>
      </c>
      <c r="Q31" s="46">
        <v>5.1515275905367295E-4</v>
      </c>
    </row>
    <row r="32" spans="1:17" x14ac:dyDescent="0.25">
      <c r="A32" t="s">
        <v>696</v>
      </c>
      <c r="B32" s="46">
        <v>2.3466192809270975E-4</v>
      </c>
      <c r="C32" s="46">
        <v>2.461987405928429E-4</v>
      </c>
      <c r="D32" s="46">
        <v>3.8173555507465916E-4</v>
      </c>
      <c r="E32" s="46">
        <v>7.9368416643980488E-4</v>
      </c>
      <c r="F32" s="46">
        <v>5.9222638424253553E-4</v>
      </c>
      <c r="G32" s="46">
        <v>7.7816486487605535E-4</v>
      </c>
      <c r="H32" s="46">
        <v>9.9741611984131297E-4</v>
      </c>
      <c r="I32" s="46">
        <v>1.0991178470028391E-3</v>
      </c>
      <c r="J32" s="46">
        <v>1.3411003595453952E-3</v>
      </c>
      <c r="K32" s="46">
        <v>1.9584745274651865E-3</v>
      </c>
      <c r="L32" s="46">
        <v>2.3411296828111392E-3</v>
      </c>
      <c r="M32" s="46">
        <v>2.775671701644165E-3</v>
      </c>
      <c r="N32" s="46">
        <v>3.6498565648025116E-3</v>
      </c>
      <c r="O32" s="46">
        <v>5.4452688885938128E-3</v>
      </c>
      <c r="P32" s="46">
        <v>7.5969755024769582E-3</v>
      </c>
      <c r="Q32" s="46">
        <v>1.0659420528344055E-2</v>
      </c>
    </row>
    <row r="33" spans="1:17" x14ac:dyDescent="0.25">
      <c r="A33" t="s">
        <v>651</v>
      </c>
      <c r="B33" s="46">
        <v>1.465286506788325E-4</v>
      </c>
      <c r="C33" s="46">
        <v>6.0288138141170177E-5</v>
      </c>
      <c r="D33" s="46">
        <v>2.7560227698058962E-4</v>
      </c>
      <c r="E33" s="46">
        <v>3.7334667718219984E-4</v>
      </c>
      <c r="F33" s="46">
        <v>7.7982825666151646E-4</v>
      </c>
      <c r="G33" s="46">
        <v>1.0973003266215935E-3</v>
      </c>
      <c r="H33" s="46">
        <v>6.3676732310137844E-4</v>
      </c>
      <c r="I33" s="46">
        <v>7.1357448916974054E-4</v>
      </c>
      <c r="J33" s="46">
        <v>9.8465896373228865E-4</v>
      </c>
      <c r="K33" s="46">
        <v>1.4842368669300667E-3</v>
      </c>
      <c r="L33" s="46">
        <v>2.2155674223275062E-3</v>
      </c>
      <c r="M33" s="46">
        <v>2.8636393311718806E-3</v>
      </c>
      <c r="N33" s="46">
        <v>3.8300556724877345E-3</v>
      </c>
      <c r="O33" s="46">
        <v>5.0968676982179831E-3</v>
      </c>
      <c r="P33" s="46">
        <v>5.8761675958210607E-3</v>
      </c>
      <c r="Q33" s="46">
        <v>6.4373819462343641E-3</v>
      </c>
    </row>
    <row r="34" spans="1:17" x14ac:dyDescent="0.25">
      <c r="A34" t="s">
        <v>735</v>
      </c>
      <c r="B34" s="46">
        <v>1.2240524490129491E-6</v>
      </c>
      <c r="C34" s="46">
        <v>2.0780288529475995E-5</v>
      </c>
      <c r="D34" s="46">
        <v>2.909480432792809E-5</v>
      </c>
      <c r="E34" s="46">
        <v>2.3838186681146606E-5</v>
      </c>
      <c r="F34" s="46">
        <v>2.2257997936016514E-5</v>
      </c>
      <c r="G34" s="46">
        <v>1.9857427001911145E-5</v>
      </c>
      <c r="H34" s="46">
        <v>2.2092745521534749E-5</v>
      </c>
      <c r="I34" s="46">
        <v>1.7638413458730065E-5</v>
      </c>
      <c r="J34" s="46">
        <v>2.5625771934317997E-5</v>
      </c>
      <c r="K34" s="46">
        <v>2.8835562055426561E-5</v>
      </c>
      <c r="L34" s="46">
        <v>2.9872938588332348E-5</v>
      </c>
      <c r="M34" s="46">
        <v>4.8555204787596703E-5</v>
      </c>
      <c r="N34" s="46">
        <v>6.5701107994097497E-5</v>
      </c>
      <c r="O34" s="46">
        <v>5.5951809842439216E-5</v>
      </c>
      <c r="P34" s="46">
        <v>6.7547827461518693E-5</v>
      </c>
      <c r="Q34" s="46">
        <v>1.0804637013512021E-4</v>
      </c>
    </row>
    <row r="35" spans="1:17" x14ac:dyDescent="0.25">
      <c r="A35" t="s">
        <v>736</v>
      </c>
      <c r="B35" s="46">
        <v>4.1463602091310578E-6</v>
      </c>
      <c r="C35" s="46">
        <v>1.5118178286276096E-5</v>
      </c>
      <c r="D35" s="46">
        <v>4.2656026988452054E-5</v>
      </c>
      <c r="E35" s="46">
        <v>4.792198759572882E-5</v>
      </c>
      <c r="F35" s="46">
        <v>4.376729846196966E-5</v>
      </c>
      <c r="G35" s="46">
        <v>8.1404824347097699E-5</v>
      </c>
      <c r="H35" s="46">
        <v>1.1721151654807425E-4</v>
      </c>
      <c r="I35" s="46">
        <v>2.0098158700879471E-4</v>
      </c>
      <c r="J35" s="46">
        <v>3.0932175837463836E-4</v>
      </c>
      <c r="K35" s="46">
        <v>3.8504620424347196E-4</v>
      </c>
      <c r="L35" s="46">
        <v>3.7192540817173789E-4</v>
      </c>
      <c r="M35" s="46">
        <v>5.2227167481816027E-4</v>
      </c>
      <c r="N35" s="46">
        <v>8.4483929726009296E-4</v>
      </c>
      <c r="O35" s="46">
        <v>1.1124482440201366E-3</v>
      </c>
      <c r="P35" s="46">
        <v>1.1870118863947499E-3</v>
      </c>
      <c r="Q35" s="46">
        <v>1.3523606646571023E-3</v>
      </c>
    </row>
    <row r="36" spans="1:17" x14ac:dyDescent="0.25">
      <c r="A36" t="s">
        <v>717</v>
      </c>
      <c r="B36" s="46">
        <v>3.1779614325068873E-4</v>
      </c>
      <c r="C36" s="46">
        <v>5.2845383254046855E-4</v>
      </c>
      <c r="D36" s="46">
        <v>9.4577845121489258E-4</v>
      </c>
      <c r="E36" s="46">
        <v>2.3655911916518851E-3</v>
      </c>
      <c r="F36" s="46">
        <v>1.7254360165118679E-3</v>
      </c>
      <c r="G36" s="46">
        <v>3.8893251258135769E-3</v>
      </c>
      <c r="H36" s="46">
        <v>7.1007078242576278E-3</v>
      </c>
      <c r="I36" s="46">
        <v>9.3949453317991715E-3</v>
      </c>
      <c r="J36" s="46">
        <v>1.0797540978368535E-2</v>
      </c>
      <c r="K36" s="46">
        <v>1.3651493212669683E-2</v>
      </c>
      <c r="L36" s="46">
        <v>1.6169886137361249E-2</v>
      </c>
      <c r="M36" s="46">
        <v>1.9663037257969355E-2</v>
      </c>
      <c r="N36" s="46">
        <v>2.4142815568823205E-2</v>
      </c>
      <c r="O36" s="46">
        <v>3.1410774040403489E-2</v>
      </c>
      <c r="P36" s="46">
        <v>3.5586178572583511E-2</v>
      </c>
      <c r="Q36" s="46">
        <v>4.0689627055433129E-2</v>
      </c>
    </row>
    <row r="37" spans="1:17" x14ac:dyDescent="0.25">
      <c r="A37" t="s">
        <v>665</v>
      </c>
      <c r="B37" s="46">
        <v>3.3028023621830805E-3</v>
      </c>
      <c r="C37" s="46">
        <v>9.2657559198542801E-3</v>
      </c>
      <c r="D37" s="46">
        <v>1.4095110827564206E-2</v>
      </c>
      <c r="E37" s="46">
        <v>1.6485294637776871E-2</v>
      </c>
      <c r="F37" s="46">
        <v>1.9375706358572994E-2</v>
      </c>
      <c r="G37" s="46">
        <v>2.1648642812059252E-2</v>
      </c>
      <c r="H37" s="46">
        <v>2.1749677863528542E-2</v>
      </c>
      <c r="I37" s="46">
        <v>2.7435514765000068E-2</v>
      </c>
      <c r="J37" s="46">
        <v>3.0485536934849716E-2</v>
      </c>
      <c r="K37" s="46">
        <v>3.672103308241597E-2</v>
      </c>
      <c r="L37" s="46">
        <v>4.163637764447705E-2</v>
      </c>
      <c r="M37" s="46">
        <v>4.472254078683615E-2</v>
      </c>
      <c r="N37" s="46">
        <v>5.0332626636566E-2</v>
      </c>
      <c r="O37" s="46">
        <v>5.2638957977047103E-2</v>
      </c>
      <c r="P37" s="46">
        <v>5.4574945693173033E-2</v>
      </c>
      <c r="Q37" s="46">
        <v>6.4187356193764047E-2</v>
      </c>
    </row>
    <row r="38" spans="1:17" x14ac:dyDescent="0.25">
      <c r="A38" t="s">
        <v>705</v>
      </c>
      <c r="B38" s="46">
        <v>1.7370985847522534E-3</v>
      </c>
      <c r="C38" s="46">
        <v>2.3044797990370526E-3</v>
      </c>
      <c r="D38" s="46">
        <v>3.5646962387353661E-3</v>
      </c>
      <c r="E38" s="46">
        <v>6.9016581272873341E-3</v>
      </c>
      <c r="F38" s="46">
        <v>6.4631371022127234E-3</v>
      </c>
      <c r="G38" s="46">
        <v>7.5649667089491036E-3</v>
      </c>
      <c r="H38" s="46">
        <v>9.5470396752450996E-3</v>
      </c>
      <c r="I38" s="46">
        <v>1.05706567477056E-2</v>
      </c>
      <c r="J38" s="46">
        <v>1.2352543556904648E-2</v>
      </c>
      <c r="K38" s="46">
        <v>1.467107296198222E-2</v>
      </c>
      <c r="L38" s="46">
        <v>1.786874397270714E-2</v>
      </c>
      <c r="M38" s="46">
        <v>2.1665180380729124E-2</v>
      </c>
      <c r="N38" s="46">
        <v>2.4022993553585816E-2</v>
      </c>
      <c r="O38" s="46">
        <v>2.7329161006766977E-2</v>
      </c>
      <c r="P38" s="46">
        <v>2.7942685503036701E-2</v>
      </c>
      <c r="Q38" s="46">
        <v>2.7996124889629041E-2</v>
      </c>
    </row>
    <row r="39" spans="1:17" x14ac:dyDescent="0.25">
      <c r="A39" t="s">
        <v>701</v>
      </c>
      <c r="B39" s="46">
        <v>1.1592971064599115E-6</v>
      </c>
      <c r="C39" s="46">
        <v>1.6352205795633504E-3</v>
      </c>
      <c r="D39" s="46">
        <v>2.318236966190683E-3</v>
      </c>
      <c r="E39" s="46">
        <v>2.4806536727326185E-3</v>
      </c>
      <c r="F39" s="46">
        <v>3.3150405506027249E-3</v>
      </c>
      <c r="G39" s="46">
        <v>8.5173408237253813E-3</v>
      </c>
      <c r="H39" s="46">
        <v>1.1363181173866697E-2</v>
      </c>
      <c r="I39" s="46">
        <v>1.2138607991835504E-2</v>
      </c>
      <c r="J39" s="46">
        <v>1.5632728925980131E-2</v>
      </c>
      <c r="K39" s="46">
        <v>2.1927743290058442E-2</v>
      </c>
      <c r="L39" s="46">
        <v>2.6483584367470898E-2</v>
      </c>
      <c r="M39" s="46">
        <v>3.194156565352109E-2</v>
      </c>
      <c r="N39" s="46">
        <v>3.8598357489079048E-2</v>
      </c>
      <c r="O39" s="46">
        <v>4.8733174231390897E-2</v>
      </c>
      <c r="P39" s="46">
        <v>5.4107987877998864E-2</v>
      </c>
      <c r="Q39" s="46">
        <v>6.0069637988609086E-2</v>
      </c>
    </row>
    <row r="40" spans="1:17" x14ac:dyDescent="0.25">
      <c r="A40" t="s">
        <v>633</v>
      </c>
      <c r="B40" s="46">
        <v>4.7206492454266808E-4</v>
      </c>
      <c r="C40" s="46">
        <v>7.5916234856352035E-4</v>
      </c>
      <c r="D40" s="46">
        <v>1.1001535477249092E-3</v>
      </c>
      <c r="E40" s="46">
        <v>1.9635763926314975E-3</v>
      </c>
      <c r="F40" s="46">
        <v>3.0021666020043714E-3</v>
      </c>
      <c r="G40" s="46">
        <v>4.9858639530593659E-3</v>
      </c>
      <c r="H40" s="46">
        <v>6.8596868247918236E-3</v>
      </c>
      <c r="I40" s="46">
        <v>9.311228554597737E-3</v>
      </c>
      <c r="J40" s="46">
        <v>1.1316020896025989E-2</v>
      </c>
      <c r="K40" s="46">
        <v>1.4217781520685197E-2</v>
      </c>
      <c r="L40" s="46">
        <v>1.7491675804667022E-2</v>
      </c>
      <c r="M40" s="46">
        <v>2.0976441830324162E-2</v>
      </c>
      <c r="N40" s="46">
        <v>2.453552214810972E-2</v>
      </c>
      <c r="O40" s="46">
        <v>2.8411654882721689E-2</v>
      </c>
      <c r="P40" s="46">
        <v>3.1947706268374759E-2</v>
      </c>
      <c r="Q40" s="46">
        <v>3.6256711736419422E-2</v>
      </c>
    </row>
    <row r="41" spans="1:17" x14ac:dyDescent="0.25">
      <c r="A41" t="s">
        <v>715</v>
      </c>
      <c r="B41" s="46">
        <v>1.1555414783254113E-4</v>
      </c>
      <c r="C41" s="46">
        <v>2.4037964299751925E-4</v>
      </c>
      <c r="D41" s="46">
        <v>5.5207543573520612E-4</v>
      </c>
      <c r="E41" s="46">
        <v>5.2574937803765538E-4</v>
      </c>
      <c r="F41" s="46">
        <v>5.7888483580318241E-4</v>
      </c>
      <c r="G41" s="46">
        <v>6.8115626260288771E-4</v>
      </c>
      <c r="H41" s="46">
        <v>7.8803974429783076E-4</v>
      </c>
      <c r="I41" s="46">
        <v>9.4365668277075938E-4</v>
      </c>
      <c r="J41" s="46">
        <v>1.0524602864721074E-3</v>
      </c>
      <c r="K41" s="46">
        <v>1.4542303180277503E-3</v>
      </c>
      <c r="L41" s="46">
        <v>1.8123602046645527E-3</v>
      </c>
      <c r="M41" s="46">
        <v>1.9859822252734339E-3</v>
      </c>
      <c r="N41" s="46">
        <v>2.3484015266574858E-3</v>
      </c>
      <c r="O41" s="46">
        <v>3.112855669528263E-3</v>
      </c>
      <c r="P41" s="46">
        <v>3.586734057425529E-3</v>
      </c>
      <c r="Q41" s="46">
        <v>4.1111397163259679E-3</v>
      </c>
    </row>
    <row r="42" spans="1:17" x14ac:dyDescent="0.25">
      <c r="A42" t="s">
        <v>737</v>
      </c>
      <c r="B42" s="46">
        <v>1.0150684067839354E-5</v>
      </c>
      <c r="C42" s="46">
        <v>1.9902909281412704E-5</v>
      </c>
      <c r="D42" s="46">
        <v>2.4313315761248301E-5</v>
      </c>
      <c r="E42" s="46">
        <v>3.2332966559448291E-5</v>
      </c>
      <c r="F42" s="46">
        <v>5.4874395862968961E-5</v>
      </c>
      <c r="G42" s="46">
        <v>8.8838490398115703E-5</v>
      </c>
      <c r="H42" s="46">
        <v>7.7695864079656589E-5</v>
      </c>
      <c r="I42" s="46">
        <v>1.1489935470319851E-4</v>
      </c>
      <c r="J42" s="46">
        <v>1.8570377354193711E-4</v>
      </c>
      <c r="K42" s="46">
        <v>2.8094555582588608E-4</v>
      </c>
      <c r="L42" s="46">
        <v>5.3351648548791749E-4</v>
      </c>
      <c r="M42" s="46">
        <v>9.2923837090047188E-4</v>
      </c>
      <c r="N42" s="46">
        <v>1.5377365042466681E-3</v>
      </c>
      <c r="O42" s="46">
        <v>2.6705570919708719E-3</v>
      </c>
      <c r="P42" s="46">
        <v>3.3501972208893555E-3</v>
      </c>
      <c r="Q42" s="46">
        <v>3.645082716305586E-3</v>
      </c>
    </row>
    <row r="43" spans="1:17" x14ac:dyDescent="0.25">
      <c r="A43" t="s">
        <v>669</v>
      </c>
      <c r="B43" s="46">
        <v>1.7748990979523085E-3</v>
      </c>
      <c r="C43" s="46">
        <v>8.5765656117230561E-4</v>
      </c>
      <c r="D43" s="46">
        <v>1.1579127467989058E-3</v>
      </c>
      <c r="E43" s="46">
        <v>1.4783742624062074E-3</v>
      </c>
      <c r="F43" s="46">
        <v>1.8512357104244468E-3</v>
      </c>
      <c r="G43" s="46">
        <v>2.2677349755067912E-3</v>
      </c>
      <c r="H43" s="46">
        <v>2.8285049811599232E-3</v>
      </c>
      <c r="I43" s="46">
        <v>2.639159986270906E-3</v>
      </c>
      <c r="J43" s="46">
        <v>3.1865385395126317E-3</v>
      </c>
      <c r="K43" s="46">
        <v>3.6542681953346382E-3</v>
      </c>
      <c r="L43" s="46">
        <v>4.1761893550614944E-3</v>
      </c>
      <c r="M43" s="46">
        <v>4.8707853460031826E-3</v>
      </c>
      <c r="N43" s="46">
        <v>6.288843068677755E-3</v>
      </c>
      <c r="O43" s="46">
        <v>7.8150988744553635E-3</v>
      </c>
      <c r="P43" s="46">
        <v>8.9924368480657473E-3</v>
      </c>
      <c r="Q43" s="46">
        <v>1.0289606483228696E-2</v>
      </c>
    </row>
    <row r="44" spans="1:17" x14ac:dyDescent="0.25">
      <c r="A44" t="s">
        <v>663</v>
      </c>
      <c r="B44" s="46">
        <v>4.3623567952462254E-4</v>
      </c>
      <c r="C44" s="46">
        <v>1.6030146282784911E-3</v>
      </c>
      <c r="D44" s="46">
        <v>1.9001136553024915E-3</v>
      </c>
      <c r="E44" s="46">
        <v>2.0168909769385894E-3</v>
      </c>
      <c r="F44" s="46">
        <v>1.7388444220947539E-3</v>
      </c>
      <c r="G44" s="46">
        <v>1.884738673745342E-3</v>
      </c>
      <c r="H44" s="46">
        <v>2.2044590411304898E-3</v>
      </c>
      <c r="I44" s="46">
        <v>2.7689942805943766E-3</v>
      </c>
      <c r="J44" s="46">
        <v>3.1250120251487693E-3</v>
      </c>
      <c r="K44" s="46">
        <v>3.8134678890927162E-3</v>
      </c>
      <c r="L44" s="46">
        <v>4.7418602955385455E-3</v>
      </c>
      <c r="M44" s="46">
        <v>5.2107033051814276E-3</v>
      </c>
      <c r="N44" s="46">
        <v>6.1879443742611324E-3</v>
      </c>
      <c r="O44" s="46">
        <v>8.3165929840586864E-3</v>
      </c>
      <c r="P44" s="46">
        <v>9.7595191307755583E-3</v>
      </c>
      <c r="Q44" s="46">
        <v>1.1695409230627786E-2</v>
      </c>
    </row>
    <row r="45" spans="1:17" x14ac:dyDescent="0.25">
      <c r="A45" t="s">
        <v>713</v>
      </c>
      <c r="B45" s="46">
        <v>3.7087107698573722E-4</v>
      </c>
      <c r="C45" s="46">
        <v>2.7154377529594351E-4</v>
      </c>
      <c r="D45" s="46">
        <v>3.8096400989041181E-4</v>
      </c>
      <c r="E45" s="46">
        <v>2.4079360735426414E-3</v>
      </c>
      <c r="F45" s="46">
        <v>1.7867403467994548E-3</v>
      </c>
      <c r="G45" s="46">
        <v>2.5951274317946352E-3</v>
      </c>
      <c r="H45" s="46">
        <v>2.8186058729711976E-3</v>
      </c>
      <c r="I45" s="46">
        <v>5.1442908917121348E-3</v>
      </c>
      <c r="J45" s="46">
        <v>1.2547670873703565E-2</v>
      </c>
      <c r="K45" s="46">
        <v>2.8563868427370947E-2</v>
      </c>
      <c r="L45" s="46">
        <v>3.6918968187928058E-2</v>
      </c>
      <c r="M45" s="46">
        <v>5.1545617098420871E-2</v>
      </c>
      <c r="N45" s="46">
        <v>5.7000126715945086E-2</v>
      </c>
      <c r="O45" s="46">
        <v>8.3134173078627416E-2</v>
      </c>
      <c r="P45" s="46">
        <v>3.5785809359082182E-2</v>
      </c>
      <c r="Q45" s="46">
        <v>3.1309264944227283E-2</v>
      </c>
    </row>
    <row r="46" spans="1:17" x14ac:dyDescent="0.25">
      <c r="A46" t="s">
        <v>641</v>
      </c>
      <c r="B46" s="46">
        <v>2.5786242915308924E-5</v>
      </c>
      <c r="C46" s="46">
        <v>1.3020412727204962E-5</v>
      </c>
      <c r="D46" s="46">
        <v>2.5758596723681958E-5</v>
      </c>
      <c r="E46" s="46">
        <v>3.8920578281947616E-5</v>
      </c>
      <c r="F46" s="46">
        <v>6.6975654755898928E-5</v>
      </c>
      <c r="G46" s="46">
        <v>1.2467292937241785E-4</v>
      </c>
      <c r="H46" s="46">
        <v>9.428758761289331E-4</v>
      </c>
      <c r="I46" s="46">
        <v>2.2512105232633016E-3</v>
      </c>
      <c r="J46" s="46">
        <v>3.3307050883458929E-3</v>
      </c>
      <c r="K46" s="46">
        <v>3.9941346620687027E-3</v>
      </c>
      <c r="L46" s="46">
        <v>4.8178409218959497E-3</v>
      </c>
      <c r="M46" s="46">
        <v>5.2981997310654772E-3</v>
      </c>
      <c r="N46" s="46">
        <v>5.9242683486792815E-3</v>
      </c>
      <c r="O46" s="46">
        <v>6.6847072732198727E-3</v>
      </c>
      <c r="P46" s="46">
        <v>6.8639357068442835E-3</v>
      </c>
      <c r="Q46" s="46">
        <v>6.9953344605341184E-3</v>
      </c>
    </row>
    <row r="47" spans="1:17" x14ac:dyDescent="0.25">
      <c r="A47" t="s">
        <v>738</v>
      </c>
      <c r="B47" s="46">
        <v>1.4586743468081139E-6</v>
      </c>
      <c r="C47" s="46">
        <v>9.9274778404512504E-6</v>
      </c>
      <c r="D47" s="46">
        <v>2.6822005434183219E-5</v>
      </c>
      <c r="E47" s="46">
        <v>2.6047694753577107E-5</v>
      </c>
      <c r="F47" s="46">
        <v>5.2288428119123003E-5</v>
      </c>
      <c r="G47" s="46">
        <v>8.3767972235994064E-5</v>
      </c>
      <c r="H47" s="46">
        <v>5.2029290529072303E-5</v>
      </c>
      <c r="I47" s="46">
        <v>1.1353428426754817E-4</v>
      </c>
      <c r="J47" s="46">
        <v>6.1069227566580794E-5</v>
      </c>
      <c r="K47" s="46">
        <v>8.5726117939599478E-5</v>
      </c>
      <c r="L47" s="46">
        <v>9.9550020386226311E-5</v>
      </c>
      <c r="M47" s="46">
        <v>1.1152374637455627E-4</v>
      </c>
      <c r="N47" s="46">
        <v>1.5338373977347682E-4</v>
      </c>
      <c r="O47" s="46">
        <v>3.8057368838250539E-4</v>
      </c>
      <c r="P47" s="46">
        <v>5.5669169948539658E-4</v>
      </c>
      <c r="Q47" s="46">
        <v>5.9708731331524869E-4</v>
      </c>
    </row>
    <row r="48" spans="1:17" x14ac:dyDescent="0.25">
      <c r="A48" t="s">
        <v>739</v>
      </c>
      <c r="B48" s="46">
        <v>0</v>
      </c>
      <c r="C48" s="46">
        <v>8.9555324179645556E-6</v>
      </c>
      <c r="D48" s="46">
        <v>5.459948476542545E-6</v>
      </c>
      <c r="E48" s="46">
        <v>2.4814811219090704E-6</v>
      </c>
      <c r="F48" s="46">
        <v>6.6598826217642169E-4</v>
      </c>
      <c r="G48" s="46">
        <v>7.2150759500845454E-4</v>
      </c>
      <c r="H48" s="46">
        <v>3.9693009342127845E-6</v>
      </c>
      <c r="I48" s="46">
        <v>6.8033005057226506E-6</v>
      </c>
      <c r="J48" s="46">
        <v>6.6621586785154735E-6</v>
      </c>
      <c r="K48" s="46">
        <v>1.5543002062939392E-5</v>
      </c>
      <c r="L48" s="46">
        <v>1.6807168490738472E-5</v>
      </c>
      <c r="M48" s="46">
        <v>1.7944976165549787E-5</v>
      </c>
      <c r="N48" s="46">
        <v>1.2015042306486994E-5</v>
      </c>
      <c r="O48" s="46">
        <v>1.4512187444692957E-5</v>
      </c>
      <c r="P48" s="46">
        <v>1.4938623844090966E-5</v>
      </c>
      <c r="Q48" s="46">
        <v>1.5578276058527623E-5</v>
      </c>
    </row>
    <row r="49" spans="1:17" x14ac:dyDescent="0.25">
      <c r="A49" t="s">
        <v>646</v>
      </c>
      <c r="B49" s="46">
        <v>9.909294484578224E-5</v>
      </c>
      <c r="C49" s="46">
        <v>1.6200181289060636E-4</v>
      </c>
      <c r="D49" s="46">
        <v>2.4548331756559937E-4</v>
      </c>
      <c r="E49" s="46">
        <v>4.4834901346902094E-4</v>
      </c>
      <c r="F49" s="46">
        <v>4.7497141019776917E-4</v>
      </c>
      <c r="G49" s="46">
        <v>6.6578946460943173E-4</v>
      </c>
      <c r="H49" s="46">
        <v>9.8437349109240999E-4</v>
      </c>
      <c r="I49" s="46">
        <v>7.1690187588920311E-4</v>
      </c>
      <c r="J49" s="46">
        <v>7.9376361567224871E-4</v>
      </c>
      <c r="K49" s="46">
        <v>1.4608953214562716E-3</v>
      </c>
      <c r="L49" s="46">
        <v>1.8738913091140559E-3</v>
      </c>
      <c r="M49" s="46">
        <v>2.3763191773445123E-3</v>
      </c>
      <c r="N49" s="46">
        <v>2.6953313122531734E-3</v>
      </c>
      <c r="O49" s="46">
        <v>3.3597418410731051E-3</v>
      </c>
      <c r="P49" s="46">
        <v>3.6978583170775522E-3</v>
      </c>
      <c r="Q49" s="46">
        <v>3.8715266431991312E-3</v>
      </c>
    </row>
    <row r="50" spans="1:17" x14ac:dyDescent="0.25">
      <c r="A50" t="s">
        <v>688</v>
      </c>
      <c r="B50" s="46">
        <v>2.024780387122757E-4</v>
      </c>
      <c r="C50" s="46">
        <v>3.2679253897754392E-4</v>
      </c>
      <c r="D50" s="46">
        <v>5.9693206488934086E-4</v>
      </c>
      <c r="E50" s="46">
        <v>9.3711704094908289E-4</v>
      </c>
      <c r="F50" s="46">
        <v>1.7433982664063863E-3</v>
      </c>
      <c r="G50" s="46">
        <v>3.3866733299042994E-3</v>
      </c>
      <c r="H50" s="46">
        <v>7.7910551592406344E-3</v>
      </c>
      <c r="I50" s="46">
        <v>1.0400605484862879E-2</v>
      </c>
      <c r="J50" s="46">
        <v>1.2558532254845479E-2</v>
      </c>
      <c r="K50" s="46">
        <v>1.4545260024441337E-2</v>
      </c>
      <c r="L50" s="46">
        <v>1.6907109838724361E-2</v>
      </c>
      <c r="M50" s="46">
        <v>1.9276587414450451E-2</v>
      </c>
      <c r="N50" s="46">
        <v>2.2671750707835732E-2</v>
      </c>
      <c r="O50" s="46">
        <v>2.556137627723834E-2</v>
      </c>
      <c r="P50" s="46">
        <v>2.7619251512643803E-2</v>
      </c>
      <c r="Q50" s="46">
        <v>2.952973098893432E-2</v>
      </c>
    </row>
    <row r="51" spans="1:17" x14ac:dyDescent="0.25">
      <c r="A51" t="s">
        <v>740</v>
      </c>
      <c r="B51" s="46">
        <v>4.9469944208462078E-5</v>
      </c>
      <c r="C51" s="46">
        <v>9.1206675361656824E-5</v>
      </c>
      <c r="D51" s="46">
        <v>1.4093418062062247E-4</v>
      </c>
      <c r="E51" s="46">
        <v>1.6547522121632783E-4</v>
      </c>
      <c r="F51" s="46">
        <v>2.3966537682888823E-4</v>
      </c>
      <c r="G51" s="46">
        <v>3.6518239868329908E-4</v>
      </c>
      <c r="H51" s="46">
        <v>4.4229617184197008E-4</v>
      </c>
      <c r="I51" s="46">
        <v>6.0679540719721944E-4</v>
      </c>
      <c r="J51" s="46">
        <v>8.3931452363624078E-4</v>
      </c>
      <c r="K51" s="46">
        <v>1.3696149439131418E-3</v>
      </c>
      <c r="L51" s="46">
        <v>2.1354069947695253E-3</v>
      </c>
      <c r="M51" s="46">
        <v>2.8641610020829762E-3</v>
      </c>
      <c r="N51" s="46">
        <v>3.0791686565073235E-3</v>
      </c>
      <c r="O51" s="46">
        <v>7.0709885157215881E-3</v>
      </c>
      <c r="P51" s="46">
        <v>7.8355606803408081E-3</v>
      </c>
      <c r="Q51" s="46">
        <v>7.4698930252112463E-3</v>
      </c>
    </row>
    <row r="52" spans="1:17" x14ac:dyDescent="0.25">
      <c r="A52" t="s">
        <v>653</v>
      </c>
      <c r="B52" s="46">
        <v>1.5753855858697365E-3</v>
      </c>
      <c r="C52" s="46">
        <v>2.1843370429252781E-3</v>
      </c>
      <c r="D52" s="46">
        <v>4.9327227897146874E-3</v>
      </c>
      <c r="E52" s="46">
        <v>4.9812114194281876E-3</v>
      </c>
      <c r="F52" s="46">
        <v>7.9665096631112049E-3</v>
      </c>
      <c r="G52" s="46">
        <v>1.5126723206580227E-2</v>
      </c>
      <c r="H52" s="46">
        <v>1.8792319029134499E-2</v>
      </c>
      <c r="I52" s="46">
        <v>2.3604260801665809E-2</v>
      </c>
      <c r="J52" s="46">
        <v>2.6817406064215604E-2</v>
      </c>
      <c r="K52" s="46">
        <v>3.1738261953270626E-2</v>
      </c>
      <c r="L52" s="46">
        <v>3.250272766394121E-2</v>
      </c>
      <c r="M52" s="46">
        <v>3.5332246769759074E-2</v>
      </c>
      <c r="N52" s="46">
        <v>3.8877577804064957E-2</v>
      </c>
      <c r="O52" s="46">
        <v>4.0779731543624166E-2</v>
      </c>
      <c r="P52" s="46">
        <v>4.0057489089792356E-2</v>
      </c>
      <c r="Q52" s="46">
        <v>4.5792216549693142E-2</v>
      </c>
    </row>
    <row r="53" spans="1:17" x14ac:dyDescent="0.25">
      <c r="A53" t="s">
        <v>703</v>
      </c>
      <c r="B53" s="46">
        <v>9.5708316519792255E-5</v>
      </c>
      <c r="C53" s="46">
        <v>1.3210738549887814E-4</v>
      </c>
      <c r="D53" s="46">
        <v>2.2110170528096871E-4</v>
      </c>
      <c r="E53" s="46">
        <v>3.210130898391462E-4</v>
      </c>
      <c r="F53" s="46">
        <v>4.545583271673784E-4</v>
      </c>
      <c r="G53" s="46">
        <v>7.7859752005911341E-4</v>
      </c>
      <c r="H53" s="46">
        <v>1.0787927560066046E-3</v>
      </c>
      <c r="I53" s="46">
        <v>1.2018791951461053E-3</v>
      </c>
      <c r="J53" s="46">
        <v>1.7002269129770427E-3</v>
      </c>
      <c r="K53" s="46">
        <v>2.1114265059587142E-3</v>
      </c>
      <c r="L53" s="46">
        <v>2.5974248338876066E-3</v>
      </c>
      <c r="M53" s="46">
        <v>3.2745925490685174E-3</v>
      </c>
      <c r="N53" s="46">
        <v>4.2084436877163492E-3</v>
      </c>
      <c r="O53" s="46">
        <v>5.3995526802728061E-3</v>
      </c>
      <c r="P53" s="46">
        <v>6.2644731560691199E-3</v>
      </c>
      <c r="Q53" s="46">
        <v>7.1759724451267264E-3</v>
      </c>
    </row>
    <row r="54" spans="1:17" x14ac:dyDescent="0.25">
      <c r="A54" t="s">
        <v>741</v>
      </c>
      <c r="B54" s="46">
        <v>1.4345011567577925E-4</v>
      </c>
      <c r="C54" s="46">
        <v>2.0326627823635723E-4</v>
      </c>
      <c r="D54" s="46">
        <v>2.3695334803494194E-4</v>
      </c>
      <c r="E54" s="46">
        <v>3.3040146097209792E-4</v>
      </c>
      <c r="F54" s="46">
        <v>4.446298040908572E-4</v>
      </c>
      <c r="G54" s="46">
        <v>5.1376209774438015E-4</v>
      </c>
      <c r="H54" s="46">
        <v>5.6744839360546324E-4</v>
      </c>
      <c r="I54" s="46">
        <v>7.4236760469471007E-4</v>
      </c>
      <c r="J54" s="46">
        <v>9.8476326347901057E-4</v>
      </c>
      <c r="K54" s="46">
        <v>1.3508179224724969E-3</v>
      </c>
      <c r="L54" s="46">
        <v>1.9878665568943748E-3</v>
      </c>
      <c r="M54" s="46">
        <v>2.5088324003460262E-3</v>
      </c>
      <c r="N54" s="46">
        <v>3.1276253228407973E-3</v>
      </c>
      <c r="O54" s="46">
        <v>4.0575259182489875E-3</v>
      </c>
      <c r="P54" s="46">
        <v>5.0069738239557886E-3</v>
      </c>
      <c r="Q54" s="46">
        <v>5.5620654786850627E-3</v>
      </c>
    </row>
    <row r="55" spans="1:17" x14ac:dyDescent="0.25">
      <c r="A55" t="s">
        <v>742</v>
      </c>
      <c r="B55" s="46">
        <v>1.2472821296350708E-5</v>
      </c>
      <c r="C55" s="46">
        <v>4.0499903024688215E-5</v>
      </c>
      <c r="D55" s="46">
        <v>9.3777116908352729E-5</v>
      </c>
      <c r="E55" s="46">
        <v>9.173907830648182E-5</v>
      </c>
      <c r="F55" s="46">
        <v>1.1763324169893061E-4</v>
      </c>
      <c r="G55" s="46">
        <v>1.47222603619041E-4</v>
      </c>
      <c r="H55" s="46">
        <v>1.8426149659265127E-4</v>
      </c>
      <c r="I55" s="46">
        <v>2.3788562534667276E-4</v>
      </c>
      <c r="J55" s="46">
        <v>2.647538894298766E-4</v>
      </c>
      <c r="K55" s="46">
        <v>3.6239285632140187E-4</v>
      </c>
      <c r="L55" s="46">
        <v>4.4212246634476975E-4</v>
      </c>
      <c r="M55" s="46">
        <v>6.8855380043285862E-4</v>
      </c>
      <c r="N55" s="46">
        <v>1.0285587111822838E-3</v>
      </c>
      <c r="O55" s="46">
        <v>1.3796436215969348E-3</v>
      </c>
      <c r="P55" s="46">
        <v>1.665361854480812E-3</v>
      </c>
      <c r="Q55" s="46">
        <v>2.2690173957538363E-3</v>
      </c>
    </row>
    <row r="56" spans="1:17" x14ac:dyDescent="0.25">
      <c r="A56" t="s">
        <v>691</v>
      </c>
      <c r="B56" s="46">
        <v>1.0331120819741441E-4</v>
      </c>
      <c r="C56" s="46">
        <v>9.7560333123948871E-5</v>
      </c>
      <c r="D56" s="46">
        <v>1.3350663935363788E-4</v>
      </c>
      <c r="E56" s="46">
        <v>1.6264902489669493E-4</v>
      </c>
      <c r="F56" s="46">
        <v>1.7881989027664294E-4</v>
      </c>
      <c r="G56" s="46">
        <v>2.1946483621513595E-4</v>
      </c>
      <c r="H56" s="46">
        <v>2.7569285980777084E-4</v>
      </c>
      <c r="I56" s="46">
        <v>3.174519153232875E-4</v>
      </c>
      <c r="J56" s="46">
        <v>4.6349285851310574E-4</v>
      </c>
      <c r="K56" s="46">
        <v>6.8062876573405707E-4</v>
      </c>
      <c r="L56" s="46">
        <v>9.2714714899070347E-4</v>
      </c>
      <c r="M56" s="46">
        <v>1.1954943077009074E-3</v>
      </c>
      <c r="N56" s="46">
        <v>1.5364903398779961E-3</v>
      </c>
      <c r="O56" s="46">
        <v>1.6916282801387385E-3</v>
      </c>
      <c r="P56" s="46">
        <v>2.0766731923645915E-3</v>
      </c>
      <c r="Q56" s="46">
        <v>2.6223306142946338E-3</v>
      </c>
    </row>
    <row r="59" spans="1:17" x14ac:dyDescent="0.25">
      <c r="A59" s="114" t="s">
        <v>400</v>
      </c>
      <c r="B59" s="28" t="s">
        <v>743</v>
      </c>
    </row>
    <row r="60" spans="1:17" x14ac:dyDescent="0.25">
      <c r="A60" s="114"/>
    </row>
    <row r="62" spans="1:17" x14ac:dyDescent="0.25">
      <c r="A62" s="114" t="s">
        <v>205</v>
      </c>
      <c r="B62" s="28" t="s">
        <v>744</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D332A-092D-41EE-BBD5-A7CAEDBD5BEB}">
  <sheetPr>
    <tabColor theme="9" tint="0.59999389629810485"/>
  </sheetPr>
  <dimension ref="A1:M24"/>
  <sheetViews>
    <sheetView workbookViewId="0"/>
  </sheetViews>
  <sheetFormatPr defaultRowHeight="15" x14ac:dyDescent="0.25"/>
  <cols>
    <col min="1" max="1" width="11.5703125" style="25" customWidth="1"/>
    <col min="2" max="2" width="22.42578125" style="25" customWidth="1"/>
    <col min="3" max="3" width="19.5703125" style="25" customWidth="1"/>
    <col min="4" max="4" width="19.5703125" style="30" customWidth="1"/>
    <col min="5" max="6" width="19.5703125" style="25" customWidth="1"/>
    <col min="7" max="7" width="25.42578125" customWidth="1"/>
    <col min="8" max="8" width="13" customWidth="1"/>
    <col min="9" max="13" width="21.140625" customWidth="1"/>
  </cols>
  <sheetData>
    <row r="1" spans="1:13" x14ac:dyDescent="0.25">
      <c r="A1" s="59" t="s">
        <v>99</v>
      </c>
      <c r="B1" s="92"/>
    </row>
    <row r="2" spans="1:13" x14ac:dyDescent="0.25">
      <c r="A2" s="28" t="s">
        <v>100</v>
      </c>
    </row>
    <row r="3" spans="1:13" x14ac:dyDescent="0.25">
      <c r="A3" s="28"/>
    </row>
    <row r="4" spans="1:13" x14ac:dyDescent="0.25">
      <c r="A4" s="59" t="s">
        <v>556</v>
      </c>
      <c r="H4" s="59" t="s">
        <v>557</v>
      </c>
      <c r="I4" s="25"/>
      <c r="J4" s="25"/>
      <c r="K4" s="30"/>
      <c r="L4" s="25"/>
      <c r="M4" s="25"/>
    </row>
    <row r="5" spans="1:13" s="31" customFormat="1" ht="18" customHeight="1" x14ac:dyDescent="0.25">
      <c r="A5" s="53" t="s">
        <v>158</v>
      </c>
      <c r="B5" s="43" t="s">
        <v>480</v>
      </c>
      <c r="C5" s="43" t="s">
        <v>479</v>
      </c>
      <c r="D5" s="43" t="s">
        <v>478</v>
      </c>
      <c r="E5" s="43" t="s">
        <v>474</v>
      </c>
      <c r="F5" s="43" t="s">
        <v>238</v>
      </c>
      <c r="H5" s="53" t="s">
        <v>158</v>
      </c>
      <c r="I5" s="43" t="s">
        <v>480</v>
      </c>
      <c r="J5" s="43" t="s">
        <v>479</v>
      </c>
      <c r="K5" s="43" t="s">
        <v>478</v>
      </c>
      <c r="L5" s="43" t="s">
        <v>474</v>
      </c>
      <c r="M5" s="43" t="s">
        <v>238</v>
      </c>
    </row>
    <row r="6" spans="1:13" x14ac:dyDescent="0.25">
      <c r="A6" s="30">
        <v>2019</v>
      </c>
      <c r="B6" s="44">
        <v>0.23844999999999997</v>
      </c>
      <c r="C6" s="44">
        <v>0.25</v>
      </c>
      <c r="D6" s="44">
        <v>2.0999999999999998E-2</v>
      </c>
      <c r="E6" s="44">
        <v>0.73399999999999999</v>
      </c>
      <c r="F6" s="44">
        <v>0</v>
      </c>
      <c r="H6" s="30">
        <v>2019</v>
      </c>
      <c r="I6" s="44">
        <f>B6*'Inflation adjustment'!$F$20/'Inflation adjustment'!$F14</f>
        <v>0.30027461931415911</v>
      </c>
      <c r="J6" s="44">
        <f>C6*'Inflation adjustment'!$F$20/'Inflation adjustment'!$F14</f>
        <v>0.31481926956821049</v>
      </c>
      <c r="K6" s="44">
        <f>D6*'Inflation adjustment'!$F$20/'Inflation adjustment'!$F14</f>
        <v>2.6444818643729679E-2</v>
      </c>
      <c r="L6" s="44">
        <f>E6*'Inflation adjustment'!$F$20/'Inflation adjustment'!$F14</f>
        <v>0.92430937545226599</v>
      </c>
      <c r="M6" s="44">
        <f>F6*'Inflation adjustment'!$F$20/'Inflation adjustment'!$F14</f>
        <v>0</v>
      </c>
    </row>
    <row r="7" spans="1:13" x14ac:dyDescent="0.25">
      <c r="A7" s="30">
        <v>2020</v>
      </c>
      <c r="B7" s="44">
        <v>0.27359999999999995</v>
      </c>
      <c r="C7" s="44">
        <v>0.3</v>
      </c>
      <c r="D7" s="44">
        <v>3.6999999999999998E-2</v>
      </c>
      <c r="E7" s="44">
        <v>0.72899999999999998</v>
      </c>
      <c r="F7" s="44">
        <v>0</v>
      </c>
      <c r="H7" s="30">
        <v>2020</v>
      </c>
      <c r="I7" s="44">
        <f>B7*'Inflation adjustment'!$F$20/'Inflation adjustment'!$F15</f>
        <v>0.34033949407096292</v>
      </c>
      <c r="J7" s="44">
        <f>C7*'Inflation adjustment'!$F$20/'Inflation adjustment'!$F15</f>
        <v>0.37317926981465238</v>
      </c>
      <c r="K7" s="44">
        <f>D7*'Inflation adjustment'!$F$20/'Inflation adjustment'!$F15</f>
        <v>4.6025443277140463E-2</v>
      </c>
      <c r="L7" s="44">
        <f>E7*'Inflation adjustment'!$F$20/'Inflation adjustment'!$F15</f>
        <v>0.90682562564960534</v>
      </c>
      <c r="M7" s="44">
        <f>F7*'Inflation adjustment'!$F$20/'Inflation adjustment'!$F15</f>
        <v>0</v>
      </c>
    </row>
    <row r="8" spans="1:13" x14ac:dyDescent="0.25">
      <c r="A8" s="30">
        <v>2021</v>
      </c>
      <c r="B8" s="44">
        <v>0.41420000000000001</v>
      </c>
      <c r="C8" s="44">
        <v>0.4</v>
      </c>
      <c r="D8" s="44">
        <v>0.10800000000000001</v>
      </c>
      <c r="E8" s="44">
        <v>0.98299999999999998</v>
      </c>
      <c r="F8" s="44">
        <v>0</v>
      </c>
      <c r="H8" s="30">
        <v>2021</v>
      </c>
      <c r="I8" s="44">
        <f>B8*'Inflation adjustment'!$F$20/'Inflation adjustment'!$F16</f>
        <v>0.49211643576779712</v>
      </c>
      <c r="J8" s="44">
        <f>C8*'Inflation adjustment'!$F$20/'Inflation adjustment'!$F16</f>
        <v>0.47524523009927289</v>
      </c>
      <c r="K8" s="44">
        <f>D8*'Inflation adjustment'!$F$20/'Inflation adjustment'!$F16</f>
        <v>0.12831621212680369</v>
      </c>
      <c r="L8" s="44">
        <f>E8*'Inflation adjustment'!$F$20/'Inflation adjustment'!$F16</f>
        <v>1.1679151529689633</v>
      </c>
      <c r="M8" s="44">
        <f>F8*'Inflation adjustment'!$F$20/'Inflation adjustment'!$F16</f>
        <v>0</v>
      </c>
    </row>
    <row r="9" spans="1:13" x14ac:dyDescent="0.25">
      <c r="A9" s="30">
        <v>2022</v>
      </c>
      <c r="B9" s="44">
        <v>0.58425000000000005</v>
      </c>
      <c r="C9" s="44">
        <v>0.6</v>
      </c>
      <c r="D9" s="44">
        <v>0.17399999999999999</v>
      </c>
      <c r="E9" s="44">
        <v>1.252</v>
      </c>
      <c r="F9" s="44">
        <v>0</v>
      </c>
      <c r="H9" s="30">
        <v>2022</v>
      </c>
      <c r="I9" s="44">
        <f>B9*'Inflation adjustment'!$F$20/'Inflation adjustment'!$F17</f>
        <v>0.6427199185047241</v>
      </c>
      <c r="J9" s="44">
        <f>C9*'Inflation adjustment'!$F$20/'Inflation adjustment'!$F17</f>
        <v>0.66004612940151375</v>
      </c>
      <c r="K9" s="44">
        <f>D9*'Inflation adjustment'!$F$20/'Inflation adjustment'!$F17</f>
        <v>0.19141337752643897</v>
      </c>
      <c r="L9" s="44">
        <f>E9*'Inflation adjustment'!$F$20/'Inflation adjustment'!$F17</f>
        <v>1.377296256684492</v>
      </c>
      <c r="M9" s="44">
        <f>F9*'Inflation adjustment'!$F$20/'Inflation adjustment'!$F17</f>
        <v>0</v>
      </c>
    </row>
    <row r="10" spans="1:13" x14ac:dyDescent="0.25">
      <c r="A10" s="30">
        <v>2023</v>
      </c>
      <c r="B10" s="44">
        <v>0.6</v>
      </c>
      <c r="C10" s="44">
        <v>0.63</v>
      </c>
      <c r="D10" s="44">
        <v>0.193</v>
      </c>
      <c r="E10" s="44">
        <v>1.4470000000000001</v>
      </c>
      <c r="F10" s="44">
        <v>2.3305563091090096</v>
      </c>
      <c r="H10" s="30">
        <v>2023</v>
      </c>
      <c r="I10" s="44">
        <f>B10*'Inflation adjustment'!$F$20/'Inflation adjustment'!$F18</f>
        <v>0.63394989202565122</v>
      </c>
      <c r="J10" s="44">
        <f>C10*'Inflation adjustment'!$F$20/'Inflation adjustment'!$F18</f>
        <v>0.66564738662693379</v>
      </c>
      <c r="K10" s="44">
        <f>D10*'Inflation adjustment'!$F$20/'Inflation adjustment'!$F18</f>
        <v>0.20392054860158451</v>
      </c>
      <c r="L10" s="44">
        <f>E10*'Inflation adjustment'!$F$20/'Inflation adjustment'!$F18</f>
        <v>1.5288758229351957</v>
      </c>
      <c r="M10" s="44">
        <f>F10*'Inflation adjustment'!$F$20/'Inflation adjustment'!$F18</f>
        <v>2.4624265341989284</v>
      </c>
    </row>
    <row r="11" spans="1:13" x14ac:dyDescent="0.25">
      <c r="A11" s="30">
        <v>2024</v>
      </c>
      <c r="B11" s="44">
        <v>0.8</v>
      </c>
      <c r="C11" s="44">
        <v>0.9</v>
      </c>
      <c r="D11" s="44">
        <v>0.19400000000000001</v>
      </c>
      <c r="E11" s="44">
        <v>1.6190000000000002</v>
      </c>
      <c r="F11" s="44">
        <v>1.7070000000000001</v>
      </c>
      <c r="H11" s="30">
        <v>2024</v>
      </c>
      <c r="I11" s="44">
        <f>B11*'Inflation adjustment'!$F$20/'Inflation adjustment'!$F19</f>
        <v>0.82105014839538515</v>
      </c>
      <c r="J11" s="44">
        <f>C11*'Inflation adjustment'!$F$20/'Inflation adjustment'!$F19</f>
        <v>0.92368141694480832</v>
      </c>
      <c r="K11" s="44">
        <f>D11*'Inflation adjustment'!$F$20/'Inflation adjustment'!$F19</f>
        <v>0.19910466098588089</v>
      </c>
      <c r="L11" s="44">
        <f>E11*'Inflation adjustment'!$F$20/'Inflation adjustment'!$F19</f>
        <v>1.6616002378151609</v>
      </c>
      <c r="M11" s="44">
        <f>F11*'Inflation adjustment'!$F$20/'Inflation adjustment'!$F19</f>
        <v>1.751915754138653</v>
      </c>
    </row>
    <row r="12" spans="1:13" x14ac:dyDescent="0.25">
      <c r="A12" s="30">
        <v>2025</v>
      </c>
      <c r="B12" s="44">
        <v>0.86534389221042551</v>
      </c>
      <c r="C12" s="44">
        <v>0.97351187873672873</v>
      </c>
      <c r="D12" s="44">
        <v>0.223</v>
      </c>
      <c r="E12" s="44">
        <v>1.2891803022777266</v>
      </c>
      <c r="F12" s="44">
        <v>2.5486806985294121</v>
      </c>
      <c r="H12" s="30">
        <v>2025</v>
      </c>
      <c r="I12" s="44">
        <f>B12*'Inflation adjustment'!$F$20/'Inflation adjustment'!$F20</f>
        <v>0.86534389221042551</v>
      </c>
      <c r="J12" s="44">
        <f>C12*'Inflation adjustment'!$F$20/'Inflation adjustment'!$F20</f>
        <v>0.97351187873672873</v>
      </c>
      <c r="K12" s="44">
        <f>D12*'Inflation adjustment'!$F$20/'Inflation adjustment'!$F20</f>
        <v>0.223</v>
      </c>
      <c r="L12" s="44">
        <f>E12*'Inflation adjustment'!$F$20/'Inflation adjustment'!$F20</f>
        <v>1.2891803022777266</v>
      </c>
      <c r="M12" s="44">
        <f>F12*'Inflation adjustment'!$F$20/'Inflation adjustment'!$F20</f>
        <v>2.5486806985294121</v>
      </c>
    </row>
    <row r="13" spans="1:13" x14ac:dyDescent="0.25">
      <c r="C13" s="44"/>
      <c r="E13"/>
      <c r="F13" s="76"/>
      <c r="H13" s="25"/>
      <c r="I13" s="25"/>
      <c r="J13" s="44"/>
      <c r="K13" s="30"/>
      <c r="M13" s="76"/>
    </row>
    <row r="14" spans="1:13" s="31" customFormat="1" ht="49.5" customHeight="1" x14ac:dyDescent="0.25">
      <c r="A14" s="56" t="s">
        <v>745</v>
      </c>
      <c r="B14" s="54" t="s">
        <v>746</v>
      </c>
      <c r="C14" s="88" t="s">
        <v>747</v>
      </c>
      <c r="D14" s="54" t="s">
        <v>748</v>
      </c>
      <c r="E14" s="54" t="s">
        <v>749</v>
      </c>
      <c r="F14" s="54" t="s">
        <v>749</v>
      </c>
      <c r="H14" s="56" t="s">
        <v>745</v>
      </c>
      <c r="I14" s="54" t="s">
        <v>746</v>
      </c>
      <c r="J14" s="88" t="s">
        <v>747</v>
      </c>
      <c r="K14" s="54" t="s">
        <v>748</v>
      </c>
      <c r="L14" s="54" t="s">
        <v>749</v>
      </c>
      <c r="M14" s="54" t="s">
        <v>749</v>
      </c>
    </row>
    <row r="15" spans="1:13" x14ac:dyDescent="0.25">
      <c r="A15" s="28"/>
      <c r="C15" s="44"/>
      <c r="E15"/>
      <c r="F15" s="76"/>
    </row>
    <row r="16" spans="1:13" x14ac:dyDescent="0.25">
      <c r="A16" s="28"/>
      <c r="C16" s="44"/>
      <c r="E16"/>
      <c r="F16" s="76"/>
    </row>
    <row r="17" spans="1:12" x14ac:dyDescent="0.25">
      <c r="A17" s="114" t="s">
        <v>197</v>
      </c>
      <c r="B17" t="s">
        <v>750</v>
      </c>
      <c r="C17" s="28"/>
      <c r="D17" s="28"/>
      <c r="E17" s="28"/>
      <c r="F17" s="28"/>
    </row>
    <row r="18" spans="1:12" x14ac:dyDescent="0.25">
      <c r="A18" s="114"/>
      <c r="B18" t="s">
        <v>751</v>
      </c>
      <c r="C18" s="28"/>
      <c r="D18" s="28"/>
      <c r="E18" s="28"/>
      <c r="F18" s="28"/>
      <c r="I18" s="26"/>
      <c r="J18" s="26"/>
      <c r="K18" s="26"/>
      <c r="L18" s="26"/>
    </row>
    <row r="19" spans="1:12" ht="16.5" customHeight="1" x14ac:dyDescent="0.25">
      <c r="B19" t="s">
        <v>752</v>
      </c>
      <c r="C19" s="151"/>
      <c r="D19" s="151"/>
      <c r="E19" s="151"/>
      <c r="F19" s="151"/>
      <c r="G19" s="113"/>
    </row>
    <row r="20" spans="1:12" x14ac:dyDescent="0.25">
      <c r="B20" t="s">
        <v>753</v>
      </c>
    </row>
    <row r="21" spans="1:12" x14ac:dyDescent="0.25">
      <c r="B21" t="s">
        <v>754</v>
      </c>
    </row>
    <row r="22" spans="1:12" x14ac:dyDescent="0.25">
      <c r="B22" t="s">
        <v>755</v>
      </c>
    </row>
    <row r="24" spans="1:12" x14ac:dyDescent="0.25">
      <c r="A24" s="114" t="s">
        <v>205</v>
      </c>
      <c r="B24" s="28" t="s">
        <v>756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34041-003C-4443-9835-52F86618B74D}">
  <sheetPr>
    <tabColor theme="5" tint="0.59999389629810485"/>
  </sheetPr>
  <dimension ref="A1:F60"/>
  <sheetViews>
    <sheetView workbookViewId="0">
      <selection activeCell="I60" sqref="I60"/>
    </sheetView>
  </sheetViews>
  <sheetFormatPr defaultRowHeight="15" x14ac:dyDescent="0.25"/>
  <cols>
    <col min="1" max="1" width="11.5703125" customWidth="1"/>
    <col min="2" max="3" width="13.140625" style="25" customWidth="1"/>
  </cols>
  <sheetData>
    <row r="1" spans="1:3" x14ac:dyDescent="0.25">
      <c r="A1" s="24" t="s">
        <v>24</v>
      </c>
    </row>
    <row r="2" spans="1:3" x14ac:dyDescent="0.25">
      <c r="A2" t="s">
        <v>243</v>
      </c>
    </row>
    <row r="4" spans="1:3" ht="30" x14ac:dyDescent="0.25">
      <c r="A4" s="29" t="s">
        <v>158</v>
      </c>
      <c r="B4" s="43" t="s">
        <v>244</v>
      </c>
      <c r="C4" s="43" t="s">
        <v>245</v>
      </c>
    </row>
    <row r="5" spans="1:3" x14ac:dyDescent="0.25">
      <c r="A5" s="30">
        <v>2010</v>
      </c>
      <c r="B5" s="44">
        <f>C5*'Inflation adjustment'!$F$20/'Inflation adjustment'!$F5</f>
        <v>14.513242882562276</v>
      </c>
      <c r="C5" s="26">
        <v>9.83</v>
      </c>
    </row>
    <row r="6" spans="1:3" x14ac:dyDescent="0.25">
      <c r="A6" s="30">
        <v>2011</v>
      </c>
      <c r="B6" s="44">
        <f>C6*'Inflation adjustment'!$F$20/'Inflation adjustment'!$F6</f>
        <v>14.16933346373906</v>
      </c>
      <c r="C6" s="26">
        <v>9.9</v>
      </c>
    </row>
    <row r="7" spans="1:3" x14ac:dyDescent="0.25">
      <c r="A7" s="30">
        <v>2012</v>
      </c>
      <c r="B7" s="44">
        <f>C7*'Inflation adjustment'!$F$20/'Inflation adjustment'!$F7</f>
        <v>13.797917715619745</v>
      </c>
      <c r="C7" s="26">
        <v>9.84</v>
      </c>
    </row>
    <row r="8" spans="1:3" x14ac:dyDescent="0.25">
      <c r="A8" s="30">
        <v>2013</v>
      </c>
      <c r="B8" s="44">
        <f>C8*'Inflation adjustment'!$F$20/'Inflation adjustment'!$F8</f>
        <v>13.916585507196608</v>
      </c>
      <c r="C8" s="26">
        <v>10.07</v>
      </c>
    </row>
    <row r="9" spans="1:3" x14ac:dyDescent="0.25">
      <c r="A9" s="30">
        <v>2014</v>
      </c>
      <c r="B9" s="44">
        <f>C9*'Inflation adjustment'!$F$20/'Inflation adjustment'!$F9</f>
        <v>14.19760796836983</v>
      </c>
      <c r="C9" s="26">
        <v>10.44</v>
      </c>
    </row>
    <row r="10" spans="1:3" x14ac:dyDescent="0.25">
      <c r="A10" s="30">
        <v>2015</v>
      </c>
      <c r="B10" s="44">
        <f>C10*'Inflation adjustment'!$F$20/'Inflation adjustment'!$F10</f>
        <v>14.140026369416539</v>
      </c>
      <c r="C10" s="26">
        <v>10.41</v>
      </c>
    </row>
    <row r="11" spans="1:3" x14ac:dyDescent="0.25">
      <c r="A11" s="30">
        <v>2016</v>
      </c>
      <c r="B11" s="44">
        <f>C11*'Inflation adjustment'!$F$20/'Inflation adjustment'!$F11</f>
        <v>13.776075739457598</v>
      </c>
      <c r="C11" s="26">
        <v>10.27</v>
      </c>
    </row>
    <row r="12" spans="1:3" x14ac:dyDescent="0.25">
      <c r="A12" s="30">
        <v>2017</v>
      </c>
      <c r="B12" s="44">
        <f>C12*'Inflation adjustment'!$F$20/'Inflation adjustment'!$F12</f>
        <v>13.764534268929504</v>
      </c>
      <c r="C12" s="26">
        <v>10.48</v>
      </c>
    </row>
    <row r="13" spans="1:3" x14ac:dyDescent="0.25">
      <c r="A13" s="30">
        <v>2018</v>
      </c>
      <c r="B13" s="44">
        <f>C13*'Inflation adjustment'!$F$20/'Inflation adjustment'!$F13</f>
        <v>13.500459126985707</v>
      </c>
      <c r="C13" s="26">
        <v>10.53</v>
      </c>
    </row>
    <row r="14" spans="1:3" x14ac:dyDescent="0.25">
      <c r="A14" s="30">
        <v>2019</v>
      </c>
      <c r="B14" s="44">
        <f>C14*'Inflation adjustment'!$F$20/'Inflation adjustment'!$F14</f>
        <v>13.272780404995753</v>
      </c>
      <c r="C14" s="26">
        <v>10.54</v>
      </c>
    </row>
    <row r="15" spans="1:3" x14ac:dyDescent="0.25">
      <c r="A15" s="30">
        <v>2020</v>
      </c>
      <c r="B15" s="44">
        <f>C15*'Inflation adjustment'!$F$20/'Inflation adjustment'!$F15</f>
        <v>13.17322822445723</v>
      </c>
      <c r="C15" s="26">
        <v>10.59</v>
      </c>
    </row>
    <row r="16" spans="1:3" x14ac:dyDescent="0.25">
      <c r="A16" s="30">
        <v>2021</v>
      </c>
      <c r="B16" s="44">
        <f>C16*'Inflation adjustment'!$F$20/'Inflation adjustment'!$F16</f>
        <v>13.188055135254823</v>
      </c>
      <c r="C16" s="26">
        <v>11.1</v>
      </c>
    </row>
    <row r="17" spans="1:6" x14ac:dyDescent="0.25">
      <c r="A17" s="30">
        <v>2022</v>
      </c>
      <c r="B17" s="44">
        <f>C17*'Inflation adjustment'!$F$20/'Inflation adjustment'!$F17</f>
        <v>13.596950265671182</v>
      </c>
      <c r="C17" s="26">
        <v>12.36</v>
      </c>
    </row>
    <row r="18" spans="1:6" x14ac:dyDescent="0.25">
      <c r="A18" s="30">
        <v>2023</v>
      </c>
      <c r="B18" s="44">
        <f>C18*'Inflation adjustment'!$F$20/'Inflation adjustment'!$F18</f>
        <v>13.397474384808762</v>
      </c>
      <c r="C18" s="26">
        <v>12.68</v>
      </c>
    </row>
    <row r="19" spans="1:6" x14ac:dyDescent="0.25">
      <c r="A19" s="30">
        <v>2024</v>
      </c>
      <c r="B19" s="44">
        <f>C19*'Inflation adjustment'!$F$20/'Inflation adjustment'!$F19</f>
        <v>13.280486150295353</v>
      </c>
      <c r="C19" s="26">
        <v>12.94</v>
      </c>
      <c r="E19" s="47"/>
    </row>
    <row r="20" spans="1:6" x14ac:dyDescent="0.25">
      <c r="A20" s="30">
        <v>2025</v>
      </c>
      <c r="B20" s="44">
        <f>C20*'Inflation adjustment'!$F$20/'Inflation adjustment'!$F20</f>
        <v>13.63</v>
      </c>
      <c r="C20">
        <v>13.63</v>
      </c>
      <c r="D20" s="45"/>
      <c r="E20" s="46"/>
      <c r="F20" s="46"/>
    </row>
    <row r="23" spans="1:6" x14ac:dyDescent="0.25">
      <c r="A23" t="s">
        <v>197</v>
      </c>
      <c r="B23" s="28" t="s">
        <v>246</v>
      </c>
    </row>
    <row r="24" spans="1:6" x14ac:dyDescent="0.25">
      <c r="B24" s="28" t="s">
        <v>247</v>
      </c>
    </row>
    <row r="26" spans="1:6" x14ac:dyDescent="0.25">
      <c r="A26" t="s">
        <v>205</v>
      </c>
      <c r="B26" s="28" t="s">
        <v>248</v>
      </c>
    </row>
    <row r="28" spans="1:6" x14ac:dyDescent="0.25">
      <c r="B28" s="80"/>
      <c r="C28" s="80"/>
    </row>
    <row r="60" spans="1:2" x14ac:dyDescent="0.25">
      <c r="A60" t="s">
        <v>151</v>
      </c>
      <c r="B60" s="25" t="s">
        <v>152</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2B732-9EAB-41D0-AF31-C62EFAAA3D2A}">
  <sheetPr>
    <tabColor theme="9" tint="0.59999389629810485"/>
  </sheetPr>
  <dimension ref="A1:H61"/>
  <sheetViews>
    <sheetView workbookViewId="0"/>
  </sheetViews>
  <sheetFormatPr defaultRowHeight="15" x14ac:dyDescent="0.25"/>
  <cols>
    <col min="1" max="1" width="22.85546875" style="25" customWidth="1"/>
    <col min="2" max="2" width="21.85546875" style="25" customWidth="1"/>
    <col min="3" max="3" width="19.5703125" style="25" customWidth="1"/>
    <col min="4" max="4" width="13.140625" style="25" customWidth="1"/>
    <col min="5" max="5" width="14.85546875" style="25" customWidth="1"/>
    <col min="6" max="6" width="25.42578125" style="80" customWidth="1"/>
    <col min="7" max="7" width="25.42578125" customWidth="1"/>
    <col min="8" max="8" width="11.5703125" customWidth="1"/>
  </cols>
  <sheetData>
    <row r="1" spans="1:8" x14ac:dyDescent="0.25">
      <c r="A1" s="59" t="s">
        <v>101</v>
      </c>
    </row>
    <row r="2" spans="1:8" x14ac:dyDescent="0.25">
      <c r="A2" s="28" t="s">
        <v>102</v>
      </c>
    </row>
    <row r="4" spans="1:8" ht="30" x14ac:dyDescent="0.25">
      <c r="A4" s="116" t="s">
        <v>614</v>
      </c>
      <c r="B4" s="43" t="s">
        <v>364</v>
      </c>
      <c r="C4" s="43" t="s">
        <v>757</v>
      </c>
      <c r="D4" s="43" t="s">
        <v>758</v>
      </c>
      <c r="E4" s="43" t="s">
        <v>95</v>
      </c>
    </row>
    <row r="5" spans="1:8" x14ac:dyDescent="0.25">
      <c r="A5" s="25" t="s">
        <v>168</v>
      </c>
      <c r="B5" s="44">
        <f>_xlfn.XLOOKUP(A5,'Change in state retail prices'!A:A,'Change in state retail prices'!K:K,"Not found")</f>
        <v>2.5019847656946013</v>
      </c>
      <c r="C5" s="52">
        <v>1.3308506081661108E-2</v>
      </c>
      <c r="D5" s="84">
        <f>_xlfn.XLOOKUP(A5,'State growth in retail sales'!A:A,'State growth in retail sales'!H:H,"Not found")/1000</f>
        <v>27.57</v>
      </c>
      <c r="E5" s="25" t="s">
        <v>759</v>
      </c>
      <c r="G5" s="72"/>
      <c r="H5" s="72"/>
    </row>
    <row r="6" spans="1:8" x14ac:dyDescent="0.25">
      <c r="A6" s="25" t="s">
        <v>169</v>
      </c>
      <c r="B6" s="44">
        <f>_xlfn.XLOOKUP(A6,'Change in state retail prices'!A:A,'Change in state retail prices'!K:K,"Not found")</f>
        <v>5.3705930391399868</v>
      </c>
      <c r="C6" s="52">
        <v>3.0007632961948139E-2</v>
      </c>
      <c r="D6" s="84">
        <f>_xlfn.XLOOKUP(A6,'State growth in retail sales'!A:A,'State growth in retail sales'!H:H,"Not found")/1000</f>
        <v>11.037000000000001</v>
      </c>
      <c r="E6" s="25" t="s">
        <v>759</v>
      </c>
      <c r="G6" s="72"/>
    </row>
    <row r="7" spans="1:8" x14ac:dyDescent="0.25">
      <c r="A7" s="25" t="s">
        <v>170</v>
      </c>
      <c r="B7" s="44">
        <f>_xlfn.XLOOKUP(A7,'Change in state retail prices'!A:A,'Change in state retail prices'!K:K,"Not found")</f>
        <v>2.7049367464512706</v>
      </c>
      <c r="C7" s="52">
        <v>4.2429633309441959E-2</v>
      </c>
      <c r="D7" s="84">
        <f>_xlfn.XLOOKUP(A7,'State growth in retail sales'!A:A,'State growth in retail sales'!H:H,"Not found")/1000</f>
        <v>51.741</v>
      </c>
      <c r="E7" s="25" t="s">
        <v>759</v>
      </c>
      <c r="G7" s="72"/>
    </row>
    <row r="8" spans="1:8" x14ac:dyDescent="0.25">
      <c r="A8" s="25" t="s">
        <v>171</v>
      </c>
      <c r="B8" s="44">
        <f>_xlfn.XLOOKUP(A8,'Change in state retail prices'!A:A,'Change in state retail prices'!K:K,"Not found")</f>
        <v>0.28759050008909171</v>
      </c>
      <c r="C8" s="52">
        <v>4.6486261831277589E-4</v>
      </c>
      <c r="D8" s="84">
        <f>_xlfn.XLOOKUP(A8,'State growth in retail sales'!A:A,'State growth in retail sales'!H:H,"Not found")/1000</f>
        <v>11.103999999999999</v>
      </c>
      <c r="E8" s="25" t="s">
        <v>759</v>
      </c>
      <c r="G8" s="72"/>
    </row>
    <row r="9" spans="1:8" x14ac:dyDescent="0.25">
      <c r="A9" s="25" t="s">
        <v>172</v>
      </c>
      <c r="B9" s="44">
        <f>_xlfn.XLOOKUP(A9,'Change in state retail prices'!A:A,'Change in state retail prices'!K:K,"Not found")</f>
        <v>2.893145676189345</v>
      </c>
      <c r="C9" s="52">
        <v>6.1957330545820817E-2</v>
      </c>
      <c r="D9" s="84">
        <f>_xlfn.XLOOKUP(A9,'State growth in retail sales'!A:A,'State growth in retail sales'!H:H,"Not found")/1000</f>
        <v>7.4039999999999999</v>
      </c>
      <c r="E9" s="25" t="s">
        <v>759</v>
      </c>
      <c r="G9" s="72"/>
    </row>
    <row r="10" spans="1:8" x14ac:dyDescent="0.25">
      <c r="A10" s="25" t="s">
        <v>173</v>
      </c>
      <c r="B10" s="44">
        <f>_xlfn.XLOOKUP(A10,'Change in state retail prices'!A:A,'Change in state retail prices'!K:K,"Not found")</f>
        <v>0.31099067529845215</v>
      </c>
      <c r="C10" s="52">
        <v>3.3212376012477229E-2</v>
      </c>
      <c r="D10" s="84">
        <f>_xlfn.XLOOKUP(A10,'State growth in retail sales'!A:A,'State growth in retail sales'!H:H,"Not found")/1000</f>
        <v>5.4729999999999999</v>
      </c>
      <c r="E10" s="25" t="s">
        <v>759</v>
      </c>
      <c r="G10" s="72"/>
    </row>
    <row r="11" spans="1:8" x14ac:dyDescent="0.25">
      <c r="A11" s="25" t="s">
        <v>175</v>
      </c>
      <c r="B11" s="44">
        <f>_xlfn.XLOOKUP(A11,'Change in state retail prices'!A:A,'Change in state retail prices'!K:K,"Not found")</f>
        <v>2.170709300944349</v>
      </c>
      <c r="C11" s="52">
        <v>1.4896754341782548E-2</v>
      </c>
      <c r="D11" s="84">
        <f>_xlfn.XLOOKUP(A11,'State growth in retail sales'!A:A,'State growth in retail sales'!H:H,"Not found")/1000</f>
        <v>73.063999999999993</v>
      </c>
      <c r="E11" s="25" t="s">
        <v>759</v>
      </c>
      <c r="G11" s="72"/>
    </row>
    <row r="12" spans="1:8" x14ac:dyDescent="0.25">
      <c r="A12" s="25" t="s">
        <v>176</v>
      </c>
      <c r="B12" s="44">
        <f>_xlfn.XLOOKUP(A12,'Change in state retail prices'!A:A,'Change in state retail prices'!K:K,"Not found")</f>
        <v>3.8079561382669134</v>
      </c>
      <c r="C12" s="52">
        <v>5.1351267593599252E-2</v>
      </c>
      <c r="D12" s="84">
        <f>_xlfn.XLOOKUP(A12,'State growth in retail sales'!A:A,'State growth in retail sales'!H:H,"Not found")/1000</f>
        <v>143.49</v>
      </c>
      <c r="E12" s="25" t="s">
        <v>759</v>
      </c>
      <c r="G12" s="72"/>
    </row>
    <row r="13" spans="1:8" x14ac:dyDescent="0.25">
      <c r="A13" s="25" t="s">
        <v>177</v>
      </c>
      <c r="B13" s="44">
        <f>_xlfn.XLOOKUP(A13,'Change in state retail prices'!A:A,'Change in state retail prices'!K:K,"Not found")</f>
        <v>1.9247733414503756</v>
      </c>
      <c r="C13" s="52">
        <v>7.4726105905708329E-3</v>
      </c>
      <c r="D13" s="84">
        <f>_xlfn.XLOOKUP(A13,'State growth in retail sales'!A:A,'State growth in retail sales'!H:H,"Not found")/1000</f>
        <v>143.31700000000001</v>
      </c>
      <c r="E13" s="25" t="s">
        <v>759</v>
      </c>
      <c r="G13" s="72"/>
    </row>
    <row r="14" spans="1:8" x14ac:dyDescent="0.25">
      <c r="A14" s="25" t="s">
        <v>179</v>
      </c>
      <c r="B14" s="44">
        <f>_xlfn.XLOOKUP(A14,'Change in state retail prices'!A:A,'Change in state retail prices'!K:K,"Not found")</f>
        <v>1.741230233497074</v>
      </c>
      <c r="C14" s="52">
        <v>8.2372746026967383E-2</v>
      </c>
      <c r="D14" s="84">
        <f>_xlfn.XLOOKUP(A14,'State growth in retail sales'!A:A,'State growth in retail sales'!H:H,"Not found")/1000</f>
        <v>135.39500000000001</v>
      </c>
      <c r="E14" s="25" t="s">
        <v>759</v>
      </c>
      <c r="G14" s="72"/>
    </row>
    <row r="15" spans="1:8" x14ac:dyDescent="0.25">
      <c r="A15" s="25" t="s">
        <v>180</v>
      </c>
      <c r="B15" s="44">
        <f>_xlfn.XLOOKUP(A15,'Change in state retail prices'!A:A,'Change in state retail prices'!K:K,"Not found")</f>
        <v>0.1319447294933056</v>
      </c>
      <c r="C15" s="52">
        <v>9.0924665740335212E-2</v>
      </c>
      <c r="D15" s="84">
        <f>_xlfn.XLOOKUP(A15,'State growth in retail sales'!A:A,'State growth in retail sales'!H:H,"Not found")/1000</f>
        <v>103.48699999999999</v>
      </c>
      <c r="E15" s="128" t="s">
        <v>760</v>
      </c>
      <c r="G15" s="72"/>
    </row>
    <row r="16" spans="1:8" x14ac:dyDescent="0.25">
      <c r="A16" s="25" t="s">
        <v>181</v>
      </c>
      <c r="B16" s="44">
        <f>_xlfn.XLOOKUP(A16,'Change in state retail prices'!A:A,'Change in state retail prices'!K:K,"Not found")</f>
        <v>0.22102735347554159</v>
      </c>
      <c r="C16" s="52">
        <v>4.9999706724829555E-2</v>
      </c>
      <c r="D16" s="84">
        <f>_xlfn.XLOOKUP(A16,'State growth in retail sales'!A:A,'State growth in retail sales'!H:H,"Not found")/1000</f>
        <v>100.11799999999999</v>
      </c>
      <c r="E16" s="25" t="s">
        <v>759</v>
      </c>
      <c r="G16" s="72"/>
    </row>
    <row r="17" spans="1:7" x14ac:dyDescent="0.25">
      <c r="A17" s="25" t="s">
        <v>182</v>
      </c>
      <c r="B17" s="44">
        <f>_xlfn.XLOOKUP(A17,'Change in state retail prices'!A:A,'Change in state retail prices'!K:K,"Not found")</f>
        <v>0.40612820469685751</v>
      </c>
      <c r="C17" s="52">
        <v>5.5555887971788717E-2</v>
      </c>
      <c r="D17" s="84">
        <f>_xlfn.XLOOKUP(A17,'State growth in retail sales'!A:A,'State growth in retail sales'!H:H,"Not found")/1000</f>
        <v>161.934</v>
      </c>
      <c r="E17" s="25" t="s">
        <v>759</v>
      </c>
      <c r="G17" s="72"/>
    </row>
    <row r="18" spans="1:7" x14ac:dyDescent="0.25">
      <c r="A18" s="25" t="s">
        <v>185</v>
      </c>
      <c r="B18" s="44">
        <f>_xlfn.XLOOKUP(A18,'Change in state retail prices'!A:A,'Change in state retail prices'!K:K,"Not found")</f>
        <v>-2.9381350514769977E-2</v>
      </c>
      <c r="C18" s="52">
        <v>5.8794732017517295E-2</v>
      </c>
      <c r="D18" s="84">
        <f>_xlfn.XLOOKUP(A18,'State growth in retail sales'!A:A,'State growth in retail sales'!H:H,"Not found")/1000</f>
        <v>70.180000000000007</v>
      </c>
      <c r="E18" s="128" t="s">
        <v>760</v>
      </c>
      <c r="G18" s="72"/>
    </row>
    <row r="19" spans="1:7" x14ac:dyDescent="0.25">
      <c r="A19" s="25" t="s">
        <v>191</v>
      </c>
      <c r="B19" s="44">
        <f>_xlfn.XLOOKUP(A19,'Change in state retail prices'!A:A,'Change in state retail prices'!K:K,"Not found")</f>
        <v>-1.6363210752977579</v>
      </c>
      <c r="C19" s="52">
        <v>0.18318619535848446</v>
      </c>
      <c r="D19" s="84">
        <f>_xlfn.XLOOKUP(A19,'State growth in retail sales'!A:A,'State growth in retail sales'!H:H,"Not found")/1000</f>
        <v>58.567999999999998</v>
      </c>
      <c r="E19" s="128" t="s">
        <v>760</v>
      </c>
      <c r="G19" s="72"/>
    </row>
    <row r="20" spans="1:7" x14ac:dyDescent="0.25">
      <c r="A20" s="25" t="s">
        <v>193</v>
      </c>
      <c r="B20" s="44">
        <f>_xlfn.XLOOKUP(A20,'Change in state retail prices'!A:A,'Change in state retail prices'!K:K,"Not found")</f>
        <v>-1.3573407745104635</v>
      </c>
      <c r="C20" s="52">
        <v>6.1406301514178918E-2</v>
      </c>
      <c r="D20" s="84">
        <f>_xlfn.XLOOKUP(A20,'State growth in retail sales'!A:A,'State growth in retail sales'!H:H,"Not found")/1000</f>
        <v>41.970999999999997</v>
      </c>
      <c r="E20" s="128" t="s">
        <v>760</v>
      </c>
      <c r="G20" s="72"/>
    </row>
    <row r="21" spans="1:7" x14ac:dyDescent="0.25">
      <c r="A21" s="25" t="s">
        <v>195</v>
      </c>
      <c r="B21" s="44">
        <f>_xlfn.XLOOKUP(A21,'Change in state retail prices'!A:A,'Change in state retail prices'!K:K,"Not found")</f>
        <v>-0.29519787531121722</v>
      </c>
      <c r="C21" s="52">
        <v>9.6561860361349061E-2</v>
      </c>
      <c r="D21" s="84">
        <f>_xlfn.XLOOKUP(A21,'State growth in retail sales'!A:A,'State growth in retail sales'!H:H,"Not found")/1000</f>
        <v>65.738</v>
      </c>
      <c r="E21" s="128" t="s">
        <v>760</v>
      </c>
      <c r="G21" s="72"/>
    </row>
    <row r="22" spans="1:7" x14ac:dyDescent="0.25">
      <c r="A22" s="25" t="s">
        <v>196</v>
      </c>
      <c r="B22" s="44">
        <f>_xlfn.XLOOKUP(A22,'Change in state retail prices'!A:A,'Change in state retail prices'!K:K,"Not found")</f>
        <v>-0.57938193930421811</v>
      </c>
      <c r="C22" s="52">
        <v>7.3323876187407266E-2</v>
      </c>
      <c r="D22" s="84">
        <f>_xlfn.XLOOKUP(A22,'State growth in retail sales'!A:A,'State growth in retail sales'!H:H,"Not found")/1000</f>
        <v>80.114000000000004</v>
      </c>
      <c r="E22" s="25" t="s">
        <v>759</v>
      </c>
      <c r="G22" s="72"/>
    </row>
    <row r="23" spans="1:7" x14ac:dyDescent="0.25">
      <c r="A23" s="25" t="s">
        <v>199</v>
      </c>
      <c r="B23" s="44">
        <f>_xlfn.XLOOKUP(A23,'Change in state retail prices'!A:A,'Change in state retail prices'!K:K,"Not found")</f>
        <v>-1.846321075297757</v>
      </c>
      <c r="C23" s="52">
        <v>0.10290546249899452</v>
      </c>
      <c r="D23" s="84">
        <f>_xlfn.XLOOKUP(A23,'State growth in retail sales'!A:A,'State growth in retail sales'!H:H,"Not found")/1000</f>
        <v>37.624000000000002</v>
      </c>
      <c r="E23" s="128" t="s">
        <v>760</v>
      </c>
      <c r="G23" s="72"/>
    </row>
    <row r="24" spans="1:7" x14ac:dyDescent="0.25">
      <c r="A24" s="25" t="s">
        <v>201</v>
      </c>
      <c r="B24" s="44">
        <f>_xlfn.XLOOKUP(A24,'Change in state retail prices'!A:A,'Change in state retail prices'!K:K,"Not found")</f>
        <v>-2.9076477440952821</v>
      </c>
      <c r="C24" s="52">
        <v>8.9143956620523657E-2</v>
      </c>
      <c r="D24" s="84">
        <f>_xlfn.XLOOKUP(A24,'State growth in retail sales'!A:A,'State growth in retail sales'!H:H,"Not found")/1000</f>
        <v>30.338999999999999</v>
      </c>
      <c r="E24" s="128" t="s">
        <v>760</v>
      </c>
      <c r="G24" s="72"/>
    </row>
    <row r="25" spans="1:7" x14ac:dyDescent="0.25">
      <c r="A25" s="25" t="s">
        <v>203</v>
      </c>
      <c r="B25" s="44">
        <f>_xlfn.XLOOKUP(A25,'Change in state retail prices'!A:A,'Change in state retail prices'!K:K,"Not found")</f>
        <v>-1.1508103425072349</v>
      </c>
      <c r="C25" s="52">
        <v>0.39865739687444657</v>
      </c>
      <c r="D25" s="84">
        <f>_xlfn.XLOOKUP(A25,'State growth in retail sales'!A:A,'State growth in retail sales'!H:H,"Not found")/1000</f>
        <v>13.813000000000001</v>
      </c>
      <c r="E25" s="128" t="s">
        <v>760</v>
      </c>
      <c r="G25" s="72"/>
    </row>
    <row r="26" spans="1:7" x14ac:dyDescent="0.25">
      <c r="A26" s="25" t="s">
        <v>207</v>
      </c>
      <c r="B26" s="44">
        <f>_xlfn.XLOOKUP(A26,'Change in state retail prices'!A:A,'Change in state retail prices'!K:K,"Not found")</f>
        <v>0.86204661644975822</v>
      </c>
      <c r="C26" s="52">
        <v>2.2271112034937177E-2</v>
      </c>
      <c r="D26" s="84">
        <f>_xlfn.XLOOKUP(A26,'State growth in retail sales'!A:A,'State growth in retail sales'!H:H,"Not found")/1000</f>
        <v>11.577999999999999</v>
      </c>
      <c r="E26" s="25" t="s">
        <v>759</v>
      </c>
      <c r="G26" s="72"/>
    </row>
    <row r="27" spans="1:7" x14ac:dyDescent="0.25">
      <c r="A27" s="25" t="s">
        <v>208</v>
      </c>
      <c r="B27" s="44">
        <f>_xlfn.XLOOKUP(A27,'Change in state retail prices'!A:A,'Change in state retail prices'!K:K,"Not found")</f>
        <v>4.794944104927616</v>
      </c>
      <c r="C27" s="52">
        <v>6.4119059873048556E-2</v>
      </c>
      <c r="D27" s="84">
        <f>_xlfn.XLOOKUP(A27,'State growth in retail sales'!A:A,'State growth in retail sales'!H:H,"Not found")/1000</f>
        <v>10.241</v>
      </c>
      <c r="E27" s="25" t="s">
        <v>759</v>
      </c>
      <c r="G27" s="72"/>
    </row>
    <row r="28" spans="1:7" x14ac:dyDescent="0.25">
      <c r="A28" s="25" t="s">
        <v>209</v>
      </c>
      <c r="B28" s="44">
        <f>_xlfn.XLOOKUP(A28,'Change in state retail prices'!A:A,'Change in state retail prices'!K:K,"Not found")</f>
        <v>0.1133998741193416</v>
      </c>
      <c r="C28" s="52">
        <v>7.5458099182583199E-2</v>
      </c>
      <c r="D28" s="84">
        <f>_xlfn.XLOOKUP(A28,'State growth in retail sales'!A:A,'State growth in retail sales'!H:H,"Not found")/1000</f>
        <v>257.88900000000001</v>
      </c>
      <c r="E28" s="128" t="s">
        <v>760</v>
      </c>
      <c r="G28" s="72"/>
    </row>
    <row r="29" spans="1:7" x14ac:dyDescent="0.25">
      <c r="A29" s="25" t="s">
        <v>210</v>
      </c>
      <c r="B29" s="44">
        <f>_xlfn.XLOOKUP(A29,'Change in state retail prices'!A:A,'Change in state retail prices'!K:K,"Not found")</f>
        <v>-0.46178900777617748</v>
      </c>
      <c r="C29" s="52">
        <v>5.976302193258036E-2</v>
      </c>
      <c r="D29" s="84">
        <f>_xlfn.XLOOKUP(A29,'State growth in retail sales'!A:A,'State growth in retail sales'!H:H,"Not found")/1000</f>
        <v>153.566</v>
      </c>
      <c r="E29" s="128" t="s">
        <v>760</v>
      </c>
      <c r="G29" s="72"/>
    </row>
    <row r="30" spans="1:7" ht="18" customHeight="1" x14ac:dyDescent="0.25">
      <c r="A30" s="25" t="s">
        <v>211</v>
      </c>
      <c r="B30" s="44">
        <f>_xlfn.XLOOKUP(A30,'Change in state retail prices'!A:A,'Change in state retail prices'!K:K,"Not found")</f>
        <v>2.5898672974235044</v>
      </c>
      <c r="C30" s="52">
        <v>2.6012190718903389E-2</v>
      </c>
      <c r="D30" s="84">
        <f>_xlfn.XLOOKUP(A30,'State growth in retail sales'!A:A,'State growth in retail sales'!H:H,"Not found")/1000</f>
        <v>59.503</v>
      </c>
      <c r="E30" s="25" t="s">
        <v>759</v>
      </c>
      <c r="G30" s="72"/>
    </row>
    <row r="31" spans="1:7" x14ac:dyDescent="0.25">
      <c r="A31" s="25" t="s">
        <v>212</v>
      </c>
      <c r="B31" s="44">
        <f>_xlfn.XLOOKUP(A31,'Change in state retail prices'!A:A,'Change in state retail prices'!K:K,"Not found")</f>
        <v>-0.44235356221956224</v>
      </c>
      <c r="C31" s="52">
        <v>3.9654841459495896E-2</v>
      </c>
      <c r="D31" s="84">
        <f>_xlfn.XLOOKUP(A31,'State growth in retail sales'!A:A,'State growth in retail sales'!H:H,"Not found")/1000</f>
        <v>140.584</v>
      </c>
      <c r="E31" s="128" t="s">
        <v>760</v>
      </c>
      <c r="G31" s="72"/>
    </row>
    <row r="32" spans="1:7" x14ac:dyDescent="0.25">
      <c r="A32" s="25" t="s">
        <v>213</v>
      </c>
      <c r="B32" s="44">
        <f>_xlfn.XLOOKUP(A32,'Change in state retail prices'!A:A,'Change in state retail prices'!K:K,"Not found")</f>
        <v>-1.2444955231153454</v>
      </c>
      <c r="C32" s="52">
        <v>2.292727231953591E-2</v>
      </c>
      <c r="D32" s="84">
        <f>_xlfn.XLOOKUP(A32,'State growth in retail sales'!A:A,'State growth in retail sales'!H:H,"Not found")/1000</f>
        <v>85.619</v>
      </c>
      <c r="E32" s="128" t="s">
        <v>760</v>
      </c>
      <c r="G32" s="72"/>
    </row>
    <row r="33" spans="1:7" x14ac:dyDescent="0.25">
      <c r="A33" s="25" t="s">
        <v>214</v>
      </c>
      <c r="B33" s="44">
        <f>_xlfn.XLOOKUP(A33,'Change in state retail prices'!A:A,'Change in state retail prices'!K:K,"Not found")</f>
        <v>-0.65103766268044616</v>
      </c>
      <c r="C33" s="52">
        <v>7.5548458147877876E-2</v>
      </c>
      <c r="D33" s="84">
        <f>_xlfn.XLOOKUP(A33,'State growth in retail sales'!A:A,'State growth in retail sales'!H:H,"Not found")/1000</f>
        <v>144.67400000000001</v>
      </c>
      <c r="E33" s="25" t="s">
        <v>759</v>
      </c>
      <c r="G33" s="72"/>
    </row>
    <row r="34" spans="1:7" x14ac:dyDescent="0.25">
      <c r="A34" s="25" t="s">
        <v>215</v>
      </c>
      <c r="B34" s="44">
        <f>_xlfn.XLOOKUP(A34,'Change in state retail prices'!A:A,'Change in state retail prices'!K:K,"Not found")</f>
        <v>0.64388552981544223</v>
      </c>
      <c r="C34" s="52">
        <v>1.6461580135766946E-2</v>
      </c>
      <c r="D34" s="84">
        <f>_xlfn.XLOOKUP(A34,'State growth in retail sales'!A:A,'State growth in retail sales'!H:H,"Not found")/1000</f>
        <v>33.683</v>
      </c>
      <c r="E34" s="128" t="s">
        <v>760</v>
      </c>
      <c r="G34" s="72"/>
    </row>
    <row r="35" spans="1:7" x14ac:dyDescent="0.25">
      <c r="A35" s="25" t="s">
        <v>217</v>
      </c>
      <c r="B35" s="44">
        <f>_xlfn.XLOOKUP(A35,'Change in state retail prices'!A:A,'Change in state retail prices'!K:K,"Not found")</f>
        <v>0.16621846384991557</v>
      </c>
      <c r="C35" s="52">
        <v>6.6776257626437116E-3</v>
      </c>
      <c r="D35" s="84">
        <f>_xlfn.XLOOKUP(A35,'State growth in retail sales'!A:A,'State growth in retail sales'!H:H,"Not found")/1000</f>
        <v>89.221000000000004</v>
      </c>
      <c r="E35" s="128" t="s">
        <v>760</v>
      </c>
      <c r="G35" s="72"/>
    </row>
    <row r="36" spans="1:7" x14ac:dyDescent="0.25">
      <c r="A36" s="25" t="s">
        <v>218</v>
      </c>
      <c r="B36" s="44">
        <f>_xlfn.XLOOKUP(A36,'Change in state retail prices'!A:A,'Change in state retail prices'!K:K,"Not found")</f>
        <v>-0.35814435668893374</v>
      </c>
      <c r="C36" s="52">
        <v>2.0702035216336415E-2</v>
      </c>
      <c r="D36" s="84">
        <f>_xlfn.XLOOKUP(A36,'State growth in retail sales'!A:A,'State growth in retail sales'!H:H,"Not found")/1000</f>
        <v>75.918999999999997</v>
      </c>
      <c r="E36" s="128" t="s">
        <v>760</v>
      </c>
      <c r="G36" s="72"/>
    </row>
    <row r="37" spans="1:7" x14ac:dyDescent="0.25">
      <c r="A37" s="25" t="s">
        <v>219</v>
      </c>
      <c r="B37" s="44">
        <f>_xlfn.XLOOKUP(A37,'Change in state retail prices'!A:A,'Change in state retail prices'!K:K,"Not found")</f>
        <v>-0.18697788967169515</v>
      </c>
      <c r="C37" s="52">
        <v>3.8299318045335914E-2</v>
      </c>
      <c r="D37" s="84">
        <f>_xlfn.XLOOKUP(A37,'State growth in retail sales'!A:A,'State growth in retail sales'!H:H,"Not found")/1000</f>
        <v>49.610999999999997</v>
      </c>
      <c r="E37" s="128" t="s">
        <v>760</v>
      </c>
      <c r="G37" s="72"/>
    </row>
    <row r="38" spans="1:7" x14ac:dyDescent="0.25">
      <c r="A38" s="25" t="s">
        <v>220</v>
      </c>
      <c r="B38" s="44">
        <f>_xlfn.XLOOKUP(A38,'Change in state retail prices'!A:A,'Change in state retail prices'!K:K,"Not found")</f>
        <v>-0.70641333522831218</v>
      </c>
      <c r="C38" s="52">
        <v>1.3107326827256932E-2</v>
      </c>
      <c r="D38" s="84">
        <f>_xlfn.XLOOKUP(A38,'State growth in retail sales'!A:A,'State growth in retail sales'!H:H,"Not found")/1000</f>
        <v>106.55200000000001</v>
      </c>
      <c r="E38" s="128" t="s">
        <v>760</v>
      </c>
      <c r="G38" s="72"/>
    </row>
    <row r="39" spans="1:7" x14ac:dyDescent="0.25">
      <c r="A39" s="25" t="s">
        <v>222</v>
      </c>
      <c r="B39" s="44">
        <f>_xlfn.XLOOKUP(A39,'Change in state retail prices'!A:A,'Change in state retail prices'!K:K,"Not found")</f>
        <v>-0.57404722554971421</v>
      </c>
      <c r="C39" s="52">
        <v>6.8053635550362881E-2</v>
      </c>
      <c r="D39" s="84">
        <f>_xlfn.XLOOKUP(A39,'State growth in retail sales'!A:A,'State growth in retail sales'!H:H,"Not found")/1000</f>
        <v>52.963000000000001</v>
      </c>
      <c r="E39" s="128" t="s">
        <v>760</v>
      </c>
      <c r="G39" s="72"/>
    </row>
    <row r="40" spans="1:7" x14ac:dyDescent="0.25">
      <c r="A40" s="25" t="s">
        <v>223</v>
      </c>
      <c r="B40" s="44">
        <f>_xlfn.XLOOKUP(A40,'Change in state retail prices'!A:A,'Change in state retail prices'!K:K,"Not found")</f>
        <v>-0.26792020790611737</v>
      </c>
      <c r="C40" s="52">
        <v>2.338888666447549E-2</v>
      </c>
      <c r="D40" s="84">
        <f>_xlfn.XLOOKUP(A40,'State growth in retail sales'!A:A,'State growth in retail sales'!H:H,"Not found")/1000</f>
        <v>98.075000000000003</v>
      </c>
      <c r="E40" s="128" t="s">
        <v>760</v>
      </c>
      <c r="G40" s="72"/>
    </row>
    <row r="41" spans="1:7" x14ac:dyDescent="0.25">
      <c r="A41" s="25" t="s">
        <v>224</v>
      </c>
      <c r="B41" s="44">
        <f>_xlfn.XLOOKUP(A41,'Change in state retail prices'!A:A,'Change in state retail prices'!K:K,"Not found")</f>
        <v>-0.45795756603658688</v>
      </c>
      <c r="C41" s="52">
        <v>8.8690190699861282E-2</v>
      </c>
      <c r="D41" s="84">
        <f>_xlfn.XLOOKUP(A41,'State growth in retail sales'!A:A,'State growth in retail sales'!H:H,"Not found")/1000</f>
        <v>75.114999999999995</v>
      </c>
      <c r="E41" s="128" t="s">
        <v>760</v>
      </c>
      <c r="G41" s="72"/>
    </row>
    <row r="42" spans="1:7" x14ac:dyDescent="0.25">
      <c r="A42" s="25" t="s">
        <v>225</v>
      </c>
      <c r="B42" s="44">
        <f>_xlfn.XLOOKUP(A42,'Change in state retail prices'!A:A,'Change in state retail prices'!K:K,"Not found")</f>
        <v>-0.71547519948023464</v>
      </c>
      <c r="C42" s="52">
        <v>0.13368821315476018</v>
      </c>
      <c r="D42" s="84">
        <f>_xlfn.XLOOKUP(A42,'State growth in retail sales'!A:A,'State growth in retail sales'!H:H,"Not found")/1000</f>
        <v>519.70000000000005</v>
      </c>
      <c r="E42" s="128" t="s">
        <v>760</v>
      </c>
      <c r="G42" s="72"/>
    </row>
    <row r="43" spans="1:7" x14ac:dyDescent="0.25">
      <c r="A43" s="25" t="s">
        <v>227</v>
      </c>
      <c r="B43" s="44">
        <f>_xlfn.XLOOKUP(A43,'Change in state retail prices'!A:A,'Change in state retail prices'!K:K,"Not found")</f>
        <v>-0.33224523765488989</v>
      </c>
      <c r="C43" s="52">
        <v>0.10283213987982542</v>
      </c>
      <c r="D43" s="84">
        <f>_xlfn.XLOOKUP(A43,'State growth in retail sales'!A:A,'State growth in retail sales'!H:H,"Not found")/1000</f>
        <v>91.552000000000007</v>
      </c>
      <c r="E43" s="25" t="s">
        <v>759</v>
      </c>
      <c r="G43" s="72"/>
    </row>
    <row r="44" spans="1:7" x14ac:dyDescent="0.25">
      <c r="A44" s="25" t="s">
        <v>228</v>
      </c>
      <c r="B44" s="44">
        <f>_xlfn.XLOOKUP(A44,'Change in state retail prices'!A:A,'Change in state retail prices'!K:K,"Not found")</f>
        <v>-8.9680044386906133E-2</v>
      </c>
      <c r="C44" s="52">
        <v>0.17243030927362385</v>
      </c>
      <c r="D44" s="84">
        <f>_xlfn.XLOOKUP(A44,'State growth in retail sales'!A:A,'State growth in retail sales'!H:H,"Not found")/1000</f>
        <v>56.652000000000001</v>
      </c>
      <c r="E44" s="25" t="s">
        <v>759</v>
      </c>
      <c r="G44" s="72"/>
    </row>
    <row r="45" spans="1:7" x14ac:dyDescent="0.25">
      <c r="A45" s="25" t="s">
        <v>229</v>
      </c>
      <c r="B45" s="44">
        <f>_xlfn.XLOOKUP(A45,'Change in state retail prices'!A:A,'Change in state retail prices'!K:K,"Not found")</f>
        <v>-0.23668392824116857</v>
      </c>
      <c r="C45" s="52">
        <v>5.573205668222686E-2</v>
      </c>
      <c r="D45" s="84">
        <f>_xlfn.XLOOKUP(A45,'State growth in retail sales'!A:A,'State growth in retail sales'!H:H,"Not found")/1000</f>
        <v>26.8</v>
      </c>
      <c r="E45" s="128" t="s">
        <v>760</v>
      </c>
      <c r="G45" s="72"/>
    </row>
    <row r="46" spans="1:7" x14ac:dyDescent="0.25">
      <c r="A46" s="25" t="s">
        <v>230</v>
      </c>
      <c r="B46" s="44">
        <f>_xlfn.XLOOKUP(A46,'Change in state retail prices'!A:A,'Change in state retail prices'!K:K,"Not found")</f>
        <v>-0.50553726650637998</v>
      </c>
      <c r="C46" s="52">
        <v>0.14402079310876875</v>
      </c>
      <c r="D46" s="84">
        <f>_xlfn.XLOOKUP(A46,'State growth in retail sales'!A:A,'State growth in retail sales'!H:H,"Not found")/1000</f>
        <v>15.371</v>
      </c>
      <c r="E46" s="128" t="s">
        <v>760</v>
      </c>
      <c r="G46" s="72"/>
    </row>
    <row r="47" spans="1:7" x14ac:dyDescent="0.25">
      <c r="A47" s="25" t="s">
        <v>231</v>
      </c>
      <c r="B47" s="44">
        <f>_xlfn.XLOOKUP(A47,'Change in state retail prices'!A:A,'Change in state retail prices'!K:K,"Not found")</f>
        <v>-0.79206399112261572</v>
      </c>
      <c r="C47" s="52">
        <v>0.16902318637634872</v>
      </c>
      <c r="D47" s="84">
        <f>_xlfn.XLOOKUP(A47,'State growth in retail sales'!A:A,'State growth in retail sales'!H:H,"Not found")/1000</f>
        <v>39.845999999999997</v>
      </c>
      <c r="E47" s="25" t="s">
        <v>759</v>
      </c>
      <c r="G47" s="72"/>
    </row>
    <row r="48" spans="1:7" x14ac:dyDescent="0.25">
      <c r="A48" s="25" t="s">
        <v>232</v>
      </c>
      <c r="B48" s="44">
        <f>_xlfn.XLOOKUP(A48,'Change in state retail prices'!A:A,'Change in state retail prices'!K:K,"Not found")</f>
        <v>-1.8076031070834109</v>
      </c>
      <c r="C48" s="52">
        <v>0.27509633657889015</v>
      </c>
      <c r="D48" s="84">
        <f>_xlfn.XLOOKUP(A48,'State growth in retail sales'!A:A,'State growth in retail sales'!H:H,"Not found")/1000</f>
        <v>31.577999999999999</v>
      </c>
      <c r="E48" s="25" t="s">
        <v>759</v>
      </c>
      <c r="G48" s="72"/>
    </row>
    <row r="49" spans="1:7" x14ac:dyDescent="0.25">
      <c r="A49" s="25" t="s">
        <v>233</v>
      </c>
      <c r="B49" s="44">
        <f>_xlfn.XLOOKUP(A49,'Change in state retail prices'!A:A,'Change in state retail prices'!K:K,"Not found")</f>
        <v>0.25075087849084632</v>
      </c>
      <c r="C49" s="52">
        <v>8.9156368152224025E-2</v>
      </c>
      <c r="D49" s="84">
        <f>_xlfn.XLOOKUP(A49,'State growth in retail sales'!A:A,'State growth in retail sales'!H:H,"Not found")/1000</f>
        <v>35.073999999999998</v>
      </c>
      <c r="E49" s="128" t="s">
        <v>760</v>
      </c>
      <c r="G49" s="72"/>
    </row>
    <row r="50" spans="1:7" x14ac:dyDescent="0.25">
      <c r="A50" s="25" t="s">
        <v>234</v>
      </c>
      <c r="B50" s="44">
        <f>_xlfn.XLOOKUP(A50,'Change in state retail prices'!A:A,'Change in state retail prices'!K:K,"Not found")</f>
        <v>-0.49222304420196039</v>
      </c>
      <c r="C50" s="52">
        <v>0.17843483477521033</v>
      </c>
      <c r="D50" s="84">
        <f>_xlfn.XLOOKUP(A50,'State growth in retail sales'!A:A,'State growth in retail sales'!H:H,"Not found")/1000</f>
        <v>17.335999999999999</v>
      </c>
      <c r="E50" s="128" t="s">
        <v>760</v>
      </c>
      <c r="G50" s="72"/>
    </row>
    <row r="51" spans="1:7" x14ac:dyDescent="0.25">
      <c r="A51" s="25" t="s">
        <v>236</v>
      </c>
      <c r="B51" s="44">
        <f>_xlfn.XLOOKUP(A51,'Change in state retail prices'!A:A,'Change in state retail prices'!K:K,"Not found")</f>
        <v>6.2730682448677619</v>
      </c>
      <c r="C51" s="52">
        <v>0.10487628404645929</v>
      </c>
      <c r="D51" s="84">
        <f>_xlfn.XLOOKUP(A51,'State growth in retail sales'!A:A,'State growth in retail sales'!H:H,"Not found")/1000</f>
        <v>237.95699999999999</v>
      </c>
      <c r="E51" s="25" t="s">
        <v>759</v>
      </c>
      <c r="G51" s="72"/>
    </row>
    <row r="52" spans="1:7" x14ac:dyDescent="0.25">
      <c r="A52" s="25" t="s">
        <v>237</v>
      </c>
      <c r="B52" s="44">
        <f>_xlfn.XLOOKUP(A52,'Change in state retail prices'!A:A,'Change in state retail prices'!K:K,"Not found")</f>
        <v>0.37000184945440928</v>
      </c>
      <c r="C52" s="52">
        <v>6.9917248244213775E-2</v>
      </c>
      <c r="D52" s="84">
        <f>_xlfn.XLOOKUP(A52,'State growth in retail sales'!A:A,'State growth in retail sales'!H:H,"Not found")/1000</f>
        <v>61.567</v>
      </c>
      <c r="E52" s="128" t="s">
        <v>760</v>
      </c>
      <c r="G52" s="72"/>
    </row>
    <row r="53" spans="1:7" x14ac:dyDescent="0.25">
      <c r="A53" s="25" t="s">
        <v>238</v>
      </c>
      <c r="B53" s="44">
        <f>_xlfn.XLOOKUP(A53,'Change in state retail prices'!A:A,'Change in state retail prices'!K:K,"Not found")</f>
        <v>0.89364527464398158</v>
      </c>
      <c r="C53" s="52">
        <v>2.5623746548248921E-2</v>
      </c>
      <c r="D53" s="84">
        <f>_xlfn.XLOOKUP(A53,'State growth in retail sales'!A:A,'State growth in retail sales'!H:H,"Not found")/1000</f>
        <v>91.043999999999997</v>
      </c>
      <c r="E53" s="25" t="s">
        <v>759</v>
      </c>
      <c r="G53" s="72"/>
    </row>
    <row r="54" spans="1:7" x14ac:dyDescent="0.25">
      <c r="A54" s="25" t="s">
        <v>240</v>
      </c>
      <c r="B54" s="44">
        <f>_xlfn.XLOOKUP(A54,'Change in state retail prices'!A:A,'Change in state retail prices'!K:K,"Not found")</f>
        <v>-2.5176234510819278</v>
      </c>
      <c r="C54" s="52">
        <v>-1.4165698977305144E-3</v>
      </c>
      <c r="D54" s="84">
        <f>_xlfn.XLOOKUP(A54,'State growth in retail sales'!A:A,'State growth in retail sales'!H:H,"Not found")/1000</f>
        <v>6.1180000000000003</v>
      </c>
      <c r="E54" s="128" t="s">
        <v>760</v>
      </c>
      <c r="G54" s="72"/>
    </row>
    <row r="55" spans="1:7" x14ac:dyDescent="0.25">
      <c r="A55" s="25" t="s">
        <v>241</v>
      </c>
      <c r="B55" s="44">
        <f>_xlfn.XLOOKUP(A55,'Change in state retail prices'!A:A,'Change in state retail prices'!K:K,"Not found")</f>
        <v>-0.59563528759016293</v>
      </c>
      <c r="C55" s="52">
        <v>6.6448903368238707E-2</v>
      </c>
      <c r="D55" s="84">
        <f>_xlfn.XLOOKUP(A55,'State growth in retail sales'!A:A,'State growth in retail sales'!H:H,"Not found")/1000</f>
        <v>9.1370000000000005</v>
      </c>
      <c r="E55" s="25" t="s">
        <v>759</v>
      </c>
      <c r="G55" s="72"/>
    </row>
    <row r="58" spans="1:7" x14ac:dyDescent="0.25">
      <c r="A58" s="114" t="s">
        <v>197</v>
      </c>
      <c r="B58" s="28" t="s">
        <v>356</v>
      </c>
    </row>
    <row r="59" spans="1:7" x14ac:dyDescent="0.25">
      <c r="A59" s="114"/>
      <c r="B59" s="28" t="s">
        <v>367</v>
      </c>
    </row>
    <row r="60" spans="1:7" x14ac:dyDescent="0.25">
      <c r="B60" s="28"/>
    </row>
    <row r="61" spans="1:7" x14ac:dyDescent="0.25">
      <c r="A61" s="114" t="s">
        <v>205</v>
      </c>
      <c r="B61" s="28" t="s">
        <v>761</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9C70E-8147-4ECE-ABD4-5939B4B3E979}">
  <sheetPr>
    <tabColor theme="9" tint="0.59999389629810485"/>
  </sheetPr>
  <dimension ref="A1:G61"/>
  <sheetViews>
    <sheetView workbookViewId="0">
      <selection activeCell="J6" sqref="J6"/>
    </sheetView>
  </sheetViews>
  <sheetFormatPr defaultRowHeight="15" x14ac:dyDescent="0.25"/>
  <cols>
    <col min="1" max="1" width="22.85546875" style="25" customWidth="1"/>
    <col min="2" max="2" width="24" style="25" customWidth="1"/>
    <col min="3" max="3" width="27.42578125" style="25" customWidth="1"/>
    <col min="4" max="4" width="13.140625" style="25" customWidth="1"/>
    <col min="5" max="5" width="17.42578125" style="81" customWidth="1"/>
    <col min="6" max="6" width="25.42578125" customWidth="1"/>
    <col min="7" max="7" width="31.5703125" customWidth="1"/>
  </cols>
  <sheetData>
    <row r="1" spans="1:7" x14ac:dyDescent="0.25">
      <c r="A1" s="59" t="s">
        <v>103</v>
      </c>
    </row>
    <row r="2" spans="1:7" x14ac:dyDescent="0.25">
      <c r="A2" s="28" t="s">
        <v>104</v>
      </c>
    </row>
    <row r="4" spans="1:7" ht="30" x14ac:dyDescent="0.25">
      <c r="A4" s="116" t="s">
        <v>614</v>
      </c>
      <c r="B4" s="43" t="s">
        <v>364</v>
      </c>
      <c r="C4" s="43" t="s">
        <v>762</v>
      </c>
      <c r="D4" s="43" t="s">
        <v>758</v>
      </c>
      <c r="F4" s="43" t="s">
        <v>763</v>
      </c>
      <c r="G4" s="43" t="s">
        <v>764</v>
      </c>
    </row>
    <row r="5" spans="1:7" x14ac:dyDescent="0.25">
      <c r="A5" s="25" t="s">
        <v>168</v>
      </c>
      <c r="B5" s="44">
        <f>_xlfn.XLOOKUP(A5,'Change in state retail prices'!A:A,'Change in state retail prices'!K:K,"Not found")</f>
        <v>2.5019847656946013</v>
      </c>
      <c r="C5" s="49">
        <v>0.555171572122381</v>
      </c>
      <c r="D5" s="84">
        <f>_xlfn.XLOOKUP(A5,'State growth in retail sales'!A:A,'State growth in retail sales'!H:H,"Not found")/1000</f>
        <v>27.57</v>
      </c>
      <c r="F5" s="25" t="s">
        <v>765</v>
      </c>
      <c r="G5" s="52">
        <v>0.10706519981759861</v>
      </c>
    </row>
    <row r="6" spans="1:7" x14ac:dyDescent="0.25">
      <c r="A6" s="25" t="s">
        <v>169</v>
      </c>
      <c r="B6" s="44">
        <f>_xlfn.XLOOKUP(A6,'Change in state retail prices'!A:A,'Change in state retail prices'!K:K,"Not found")</f>
        <v>5.3705930391399868</v>
      </c>
      <c r="C6" s="49">
        <v>0.29039448978262261</v>
      </c>
      <c r="D6" s="84">
        <f>_xlfn.XLOOKUP(A6,'State growth in retail sales'!A:A,'State growth in retail sales'!H:H,"Not found")/1000</f>
        <v>11.037000000000001</v>
      </c>
      <c r="F6" s="25" t="s">
        <v>766</v>
      </c>
      <c r="G6" s="52">
        <v>7.0531205697525801E-2</v>
      </c>
    </row>
    <row r="7" spans="1:7" x14ac:dyDescent="0.25">
      <c r="A7" s="25" t="s">
        <v>170</v>
      </c>
      <c r="B7" s="44">
        <f>_xlfn.XLOOKUP(A7,'Change in state retail prices'!A:A,'Change in state retail prices'!K:K,"Not found")</f>
        <v>2.7049367464512706</v>
      </c>
      <c r="C7" s="49">
        <v>0.65768612872954868</v>
      </c>
      <c r="D7" s="84">
        <f>_xlfn.XLOOKUP(A7,'State growth in retail sales'!A:A,'State growth in retail sales'!H:H,"Not found")/1000</f>
        <v>51.741</v>
      </c>
      <c r="F7" s="25"/>
      <c r="G7" s="52"/>
    </row>
    <row r="8" spans="1:7" x14ac:dyDescent="0.25">
      <c r="A8" s="25" t="s">
        <v>171</v>
      </c>
      <c r="B8" s="44">
        <f>_xlfn.XLOOKUP(A8,'Change in state retail prices'!A:A,'Change in state retail prices'!K:K,"Not found")</f>
        <v>0.28759050008909171</v>
      </c>
      <c r="C8" s="49">
        <v>0.24045544348918721</v>
      </c>
      <c r="D8" s="84">
        <f>_xlfn.XLOOKUP(A8,'State growth in retail sales'!A:A,'State growth in retail sales'!H:H,"Not found")/1000</f>
        <v>11.103999999999999</v>
      </c>
      <c r="F8" t="s">
        <v>767</v>
      </c>
    </row>
    <row r="9" spans="1:7" x14ac:dyDescent="0.25">
      <c r="A9" s="25" t="s">
        <v>172</v>
      </c>
      <c r="B9" s="44">
        <f>_xlfn.XLOOKUP(A9,'Change in state retail prices'!A:A,'Change in state retail prices'!K:K,"Not found")</f>
        <v>2.893145676189345</v>
      </c>
      <c r="C9" s="49">
        <v>0.87521320602616193</v>
      </c>
      <c r="D9" s="84">
        <f>_xlfn.XLOOKUP(A9,'State growth in retail sales'!A:A,'State growth in retail sales'!H:H,"Not found")/1000</f>
        <v>7.4039999999999999</v>
      </c>
    </row>
    <row r="10" spans="1:7" x14ac:dyDescent="0.25">
      <c r="A10" s="25" t="s">
        <v>173</v>
      </c>
      <c r="B10" s="44">
        <f>_xlfn.XLOOKUP(A10,'Change in state retail prices'!A:A,'Change in state retail prices'!K:K,"Not found")</f>
        <v>0.31099067529845215</v>
      </c>
      <c r="C10" s="49">
        <v>5.9043923719386709E-4</v>
      </c>
      <c r="D10" s="84">
        <f>_xlfn.XLOOKUP(A10,'State growth in retail sales'!A:A,'State growth in retail sales'!H:H,"Not found")/1000</f>
        <v>5.4729999999999999</v>
      </c>
    </row>
    <row r="11" spans="1:7" x14ac:dyDescent="0.25">
      <c r="A11" s="25" t="s">
        <v>175</v>
      </c>
      <c r="B11" s="44">
        <f>_xlfn.XLOOKUP(A11,'Change in state retail prices'!A:A,'Change in state retail prices'!K:K,"Not found")</f>
        <v>2.170709300944349</v>
      </c>
      <c r="C11" s="49">
        <v>0.48554961901611382</v>
      </c>
      <c r="D11" s="84">
        <f>_xlfn.XLOOKUP(A11,'State growth in retail sales'!A:A,'State growth in retail sales'!H:H,"Not found")/1000</f>
        <v>73.063999999999993</v>
      </c>
    </row>
    <row r="12" spans="1:7" x14ac:dyDescent="0.25">
      <c r="A12" s="25" t="s">
        <v>176</v>
      </c>
      <c r="B12" s="44">
        <f>_xlfn.XLOOKUP(A12,'Change in state retail prices'!A:A,'Change in state retail prices'!K:K,"Not found")</f>
        <v>3.8079561382669134</v>
      </c>
      <c r="C12" s="49">
        <v>0.43533024624374789</v>
      </c>
      <c r="D12" s="84">
        <f>_xlfn.XLOOKUP(A12,'State growth in retail sales'!A:A,'State growth in retail sales'!H:H,"Not found")/1000</f>
        <v>143.49</v>
      </c>
    </row>
    <row r="13" spans="1:7" x14ac:dyDescent="0.25">
      <c r="A13" s="25" t="s">
        <v>177</v>
      </c>
      <c r="B13" s="44">
        <f>_xlfn.XLOOKUP(A13,'Change in state retail prices'!A:A,'Change in state retail prices'!K:K,"Not found")</f>
        <v>1.9247733414503756</v>
      </c>
      <c r="C13" s="49">
        <v>0.53952737994322175</v>
      </c>
      <c r="D13" s="84">
        <f>_xlfn.XLOOKUP(A13,'State growth in retail sales'!A:A,'State growth in retail sales'!H:H,"Not found")/1000</f>
        <v>143.31700000000001</v>
      </c>
    </row>
    <row r="14" spans="1:7" x14ac:dyDescent="0.25">
      <c r="A14" s="25" t="s">
        <v>179</v>
      </c>
      <c r="B14" s="44">
        <f>_xlfn.XLOOKUP(A14,'Change in state retail prices'!A:A,'Change in state retail prices'!K:K,"Not found")</f>
        <v>1.741230233497074</v>
      </c>
      <c r="C14" s="49">
        <v>0.13749262933883183</v>
      </c>
      <c r="D14" s="84">
        <f>_xlfn.XLOOKUP(A14,'State growth in retail sales'!A:A,'State growth in retail sales'!H:H,"Not found")/1000</f>
        <v>135.39500000000001</v>
      </c>
    </row>
    <row r="15" spans="1:7" x14ac:dyDescent="0.25">
      <c r="A15" s="25" t="s">
        <v>180</v>
      </c>
      <c r="B15" s="44">
        <f>_xlfn.XLOOKUP(A15,'Change in state retail prices'!A:A,'Change in state retail prices'!K:K,"Not found")</f>
        <v>0.1319447294933056</v>
      </c>
      <c r="C15" s="49">
        <v>0.34894030425029871</v>
      </c>
      <c r="D15" s="84">
        <f>_xlfn.XLOOKUP(A15,'State growth in retail sales'!A:A,'State growth in retail sales'!H:H,"Not found")/1000</f>
        <v>103.48699999999999</v>
      </c>
    </row>
    <row r="16" spans="1:7" x14ac:dyDescent="0.25">
      <c r="A16" s="25" t="s">
        <v>181</v>
      </c>
      <c r="B16" s="44">
        <f>_xlfn.XLOOKUP(A16,'Change in state retail prices'!A:A,'Change in state retail prices'!K:K,"Not found")</f>
        <v>0.22102735347554159</v>
      </c>
      <c r="C16" s="49">
        <v>0.36543494342773997</v>
      </c>
      <c r="D16" s="84">
        <f>_xlfn.XLOOKUP(A16,'State growth in retail sales'!A:A,'State growth in retail sales'!H:H,"Not found")/1000</f>
        <v>100.11799999999999</v>
      </c>
    </row>
    <row r="17" spans="1:4" x14ac:dyDescent="0.25">
      <c r="A17" s="25" t="s">
        <v>182</v>
      </c>
      <c r="B17" s="44">
        <f>_xlfn.XLOOKUP(A17,'Change in state retail prices'!A:A,'Change in state retail prices'!K:K,"Not found")</f>
        <v>0.40612820469685751</v>
      </c>
      <c r="C17" s="49">
        <v>0.50772476223619667</v>
      </c>
      <c r="D17" s="84">
        <f>_xlfn.XLOOKUP(A17,'State growth in retail sales'!A:A,'State growth in retail sales'!H:H,"Not found")/1000</f>
        <v>161.934</v>
      </c>
    </row>
    <row r="18" spans="1:4" x14ac:dyDescent="0.25">
      <c r="A18" s="25" t="s">
        <v>185</v>
      </c>
      <c r="B18" s="44">
        <f>_xlfn.XLOOKUP(A18,'Change in state retail prices'!A:A,'Change in state retail prices'!K:K,"Not found")</f>
        <v>-2.9381350514769977E-2</v>
      </c>
      <c r="C18" s="49">
        <v>0.36448949063057778</v>
      </c>
      <c r="D18" s="84">
        <f>_xlfn.XLOOKUP(A18,'State growth in retail sales'!A:A,'State growth in retail sales'!H:H,"Not found")/1000</f>
        <v>70.180000000000007</v>
      </c>
    </row>
    <row r="19" spans="1:4" x14ac:dyDescent="0.25">
      <c r="A19" s="25" t="s">
        <v>191</v>
      </c>
      <c r="B19" s="44">
        <f>_xlfn.XLOOKUP(A19,'Change in state retail prices'!A:A,'Change in state retail prices'!K:K,"Not found")</f>
        <v>-1.6363210752977579</v>
      </c>
      <c r="C19" s="49">
        <v>0.11958495622216472</v>
      </c>
      <c r="D19" s="84">
        <f>_xlfn.XLOOKUP(A19,'State growth in retail sales'!A:A,'State growth in retail sales'!H:H,"Not found")/1000</f>
        <v>58.567999999999998</v>
      </c>
    </row>
    <row r="20" spans="1:4" x14ac:dyDescent="0.25">
      <c r="A20" s="25" t="s">
        <v>193</v>
      </c>
      <c r="B20" s="44">
        <f>_xlfn.XLOOKUP(A20,'Change in state retail prices'!A:A,'Change in state retail prices'!K:K,"Not found")</f>
        <v>-1.3573407745104635</v>
      </c>
      <c r="C20" s="49">
        <v>6.3283764124885164E-2</v>
      </c>
      <c r="D20" s="84">
        <f>_xlfn.XLOOKUP(A20,'State growth in retail sales'!A:A,'State growth in retail sales'!H:H,"Not found")/1000</f>
        <v>41.970999999999997</v>
      </c>
    </row>
    <row r="21" spans="1:4" x14ac:dyDescent="0.25">
      <c r="A21" s="25" t="s">
        <v>195</v>
      </c>
      <c r="B21" s="44">
        <f>_xlfn.XLOOKUP(A21,'Change in state retail prices'!A:A,'Change in state retail prices'!K:K,"Not found")</f>
        <v>-0.29519787531121722</v>
      </c>
      <c r="C21" s="49">
        <v>0.2141845702741238</v>
      </c>
      <c r="D21" s="84">
        <f>_xlfn.XLOOKUP(A21,'State growth in retail sales'!A:A,'State growth in retail sales'!H:H,"Not found")/1000</f>
        <v>65.738</v>
      </c>
    </row>
    <row r="22" spans="1:4" x14ac:dyDescent="0.25">
      <c r="A22" s="25" t="s">
        <v>196</v>
      </c>
      <c r="B22" s="44">
        <f>_xlfn.XLOOKUP(A22,'Change in state retail prices'!A:A,'Change in state retail prices'!K:K,"Not found")</f>
        <v>-0.57938193930421811</v>
      </c>
      <c r="C22" s="49">
        <v>0.1119197919599383</v>
      </c>
      <c r="D22" s="84">
        <f>_xlfn.XLOOKUP(A22,'State growth in retail sales'!A:A,'State growth in retail sales'!H:H,"Not found")/1000</f>
        <v>80.114000000000004</v>
      </c>
    </row>
    <row r="23" spans="1:4" x14ac:dyDescent="0.25">
      <c r="A23" s="25" t="s">
        <v>199</v>
      </c>
      <c r="B23" s="44">
        <f>_xlfn.XLOOKUP(A23,'Change in state retail prices'!A:A,'Change in state retail prices'!K:K,"Not found")</f>
        <v>-1.846321075297757</v>
      </c>
      <c r="C23" s="49">
        <v>3.4427979304579387E-2</v>
      </c>
      <c r="D23" s="84">
        <f>_xlfn.XLOOKUP(A23,'State growth in retail sales'!A:A,'State growth in retail sales'!H:H,"Not found")/1000</f>
        <v>37.624000000000002</v>
      </c>
    </row>
    <row r="24" spans="1:4" x14ac:dyDescent="0.25">
      <c r="A24" s="25" t="s">
        <v>201</v>
      </c>
      <c r="B24" s="44">
        <f>_xlfn.XLOOKUP(A24,'Change in state retail prices'!A:A,'Change in state retail prices'!K:K,"Not found")</f>
        <v>-2.9076477440952821</v>
      </c>
      <c r="C24" s="49">
        <v>4.549641496552348E-2</v>
      </c>
      <c r="D24" s="84">
        <f>_xlfn.XLOOKUP(A24,'State growth in retail sales'!A:A,'State growth in retail sales'!H:H,"Not found")/1000</f>
        <v>30.338999999999999</v>
      </c>
    </row>
    <row r="25" spans="1:4" x14ac:dyDescent="0.25">
      <c r="A25" s="25" t="s">
        <v>203</v>
      </c>
      <c r="B25" s="44">
        <f>_xlfn.XLOOKUP(A25,'Change in state retail prices'!A:A,'Change in state retail prices'!K:K,"Not found")</f>
        <v>-1.1508103425072349</v>
      </c>
      <c r="C25" s="49">
        <v>9.1413123688966272E-2</v>
      </c>
      <c r="D25" s="84">
        <f>_xlfn.XLOOKUP(A25,'State growth in retail sales'!A:A,'State growth in retail sales'!H:H,"Not found")/1000</f>
        <v>13.813000000000001</v>
      </c>
    </row>
    <row r="26" spans="1:4" x14ac:dyDescent="0.25">
      <c r="A26" s="25" t="s">
        <v>207</v>
      </c>
      <c r="B26" s="44">
        <f>_xlfn.XLOOKUP(A26,'Change in state retail prices'!A:A,'Change in state retail prices'!K:K,"Not found")</f>
        <v>0.86204661644975822</v>
      </c>
      <c r="C26" s="49">
        <v>0.86403337116631895</v>
      </c>
      <c r="D26" s="84">
        <f>_xlfn.XLOOKUP(A26,'State growth in retail sales'!A:A,'State growth in retail sales'!H:H,"Not found")/1000</f>
        <v>11.577999999999999</v>
      </c>
    </row>
    <row r="27" spans="1:4" x14ac:dyDescent="0.25">
      <c r="A27" s="25" t="s">
        <v>208</v>
      </c>
      <c r="B27" s="44">
        <f>_xlfn.XLOOKUP(A27,'Change in state retail prices'!A:A,'Change in state retail prices'!K:K,"Not found")</f>
        <v>4.794944104927616</v>
      </c>
      <c r="C27" s="73">
        <v>0.29688084776127849</v>
      </c>
      <c r="D27" s="84">
        <f>_xlfn.XLOOKUP(A27,'State growth in retail sales'!A:A,'State growth in retail sales'!H:H,"Not found")/1000</f>
        <v>10.241</v>
      </c>
    </row>
    <row r="28" spans="1:4" x14ac:dyDescent="0.25">
      <c r="A28" s="25" t="s">
        <v>209</v>
      </c>
      <c r="B28" s="44">
        <f>_xlfn.XLOOKUP(A28,'Change in state retail prices'!A:A,'Change in state retail prices'!K:K,"Not found")</f>
        <v>0.1133998741193416</v>
      </c>
      <c r="C28" s="49">
        <v>0.74011804631533007</v>
      </c>
      <c r="D28" s="84">
        <f>_xlfn.XLOOKUP(A28,'State growth in retail sales'!A:A,'State growth in retail sales'!H:H,"Not found")/1000</f>
        <v>257.88900000000001</v>
      </c>
    </row>
    <row r="29" spans="1:4" x14ac:dyDescent="0.25">
      <c r="A29" s="25" t="s">
        <v>210</v>
      </c>
      <c r="B29" s="44">
        <f>_xlfn.XLOOKUP(A29,'Change in state retail prices'!A:A,'Change in state retail prices'!K:K,"Not found")</f>
        <v>-0.46178900777617748</v>
      </c>
      <c r="C29" s="49">
        <v>0.44675261022344132</v>
      </c>
      <c r="D29" s="84">
        <f>_xlfn.XLOOKUP(A29,'State growth in retail sales'!A:A,'State growth in retail sales'!H:H,"Not found")/1000</f>
        <v>153.566</v>
      </c>
    </row>
    <row r="30" spans="1:4" ht="15.6" customHeight="1" x14ac:dyDescent="0.25">
      <c r="A30" s="25" t="s">
        <v>211</v>
      </c>
      <c r="B30" s="44">
        <f>_xlfn.XLOOKUP(A30,'Change in state retail prices'!A:A,'Change in state retail prices'!K:K,"Not found")</f>
        <v>2.5898672974235044</v>
      </c>
      <c r="C30" s="201">
        <v>0.37947604917664207</v>
      </c>
      <c r="D30" s="84">
        <f>_xlfn.XLOOKUP(A30,'State growth in retail sales'!A:A,'State growth in retail sales'!H:H,"Not found")/1000</f>
        <v>59.503</v>
      </c>
    </row>
    <row r="31" spans="1:4" x14ac:dyDescent="0.25">
      <c r="A31" s="25" t="s">
        <v>212</v>
      </c>
      <c r="B31" s="44">
        <f>_xlfn.XLOOKUP(A31,'Change in state retail prices'!A:A,'Change in state retail prices'!K:K,"Not found")</f>
        <v>-0.44235356221956224</v>
      </c>
      <c r="C31" s="49">
        <v>0.37894050917035377</v>
      </c>
      <c r="D31" s="84">
        <f>_xlfn.XLOOKUP(A31,'State growth in retail sales'!A:A,'State growth in retail sales'!H:H,"Not found")/1000</f>
        <v>140.584</v>
      </c>
    </row>
    <row r="32" spans="1:4" x14ac:dyDescent="0.25">
      <c r="A32" s="25" t="s">
        <v>213</v>
      </c>
      <c r="B32" s="44">
        <f>_xlfn.XLOOKUP(A32,'Change in state retail prices'!A:A,'Change in state retail prices'!K:K,"Not found")</f>
        <v>-1.2444955231153454</v>
      </c>
      <c r="C32" s="49">
        <v>0.23351025419119201</v>
      </c>
      <c r="D32" s="84">
        <f>_xlfn.XLOOKUP(A32,'State growth in retail sales'!A:A,'State growth in retail sales'!H:H,"Not found")/1000</f>
        <v>85.619</v>
      </c>
    </row>
    <row r="33" spans="1:4" x14ac:dyDescent="0.25">
      <c r="A33" s="25" t="s">
        <v>214</v>
      </c>
      <c r="B33" s="44">
        <f>_xlfn.XLOOKUP(A33,'Change in state retail prices'!A:A,'Change in state retail prices'!K:K,"Not found")</f>
        <v>-0.65103766268044616</v>
      </c>
      <c r="C33" s="49">
        <v>0.57508430290540713</v>
      </c>
      <c r="D33" s="84">
        <f>_xlfn.XLOOKUP(A33,'State growth in retail sales'!A:A,'State growth in retail sales'!H:H,"Not found")/1000</f>
        <v>144.67400000000001</v>
      </c>
    </row>
    <row r="34" spans="1:4" x14ac:dyDescent="0.25">
      <c r="A34" s="25" t="s">
        <v>215</v>
      </c>
      <c r="B34" s="44">
        <f>_xlfn.XLOOKUP(A34,'Change in state retail prices'!A:A,'Change in state retail prices'!K:K,"Not found")</f>
        <v>0.64388552981544223</v>
      </c>
      <c r="C34" s="49">
        <v>5.2546468844888276E-2</v>
      </c>
      <c r="D34" s="84">
        <f>_xlfn.XLOOKUP(A34,'State growth in retail sales'!A:A,'State growth in retail sales'!H:H,"Not found")/1000</f>
        <v>33.683</v>
      </c>
    </row>
    <row r="35" spans="1:4" x14ac:dyDescent="0.25">
      <c r="A35" s="25" t="s">
        <v>217</v>
      </c>
      <c r="B35" s="44">
        <f>_xlfn.XLOOKUP(A35,'Change in state retail prices'!A:A,'Change in state retail prices'!K:K,"Not found")</f>
        <v>0.16621846384991557</v>
      </c>
      <c r="C35" s="49">
        <v>0.4235768594804204</v>
      </c>
      <c r="D35" s="84">
        <f>_xlfn.XLOOKUP(A35,'State growth in retail sales'!A:A,'State growth in retail sales'!H:H,"Not found")/1000</f>
        <v>89.221000000000004</v>
      </c>
    </row>
    <row r="36" spans="1:4" x14ac:dyDescent="0.25">
      <c r="A36" s="25" t="s">
        <v>218</v>
      </c>
      <c r="B36" s="44">
        <f>_xlfn.XLOOKUP(A36,'Change in state retail prices'!A:A,'Change in state retail prices'!K:K,"Not found")</f>
        <v>-0.35814435668893374</v>
      </c>
      <c r="C36" s="49">
        <v>0.23513491168319792</v>
      </c>
      <c r="D36" s="84">
        <f>_xlfn.XLOOKUP(A36,'State growth in retail sales'!A:A,'State growth in retail sales'!H:H,"Not found")/1000</f>
        <v>75.918999999999997</v>
      </c>
    </row>
    <row r="37" spans="1:4" x14ac:dyDescent="0.25">
      <c r="A37" s="25" t="s">
        <v>219</v>
      </c>
      <c r="B37" s="44">
        <f>_xlfn.XLOOKUP(A37,'Change in state retail prices'!A:A,'Change in state retail prices'!K:K,"Not found")</f>
        <v>-0.18697788967169515</v>
      </c>
      <c r="C37" s="49">
        <v>0.75667134734403418</v>
      </c>
      <c r="D37" s="84">
        <f>_xlfn.XLOOKUP(A37,'State growth in retail sales'!A:A,'State growth in retail sales'!H:H,"Not found")/1000</f>
        <v>49.610999999999997</v>
      </c>
    </row>
    <row r="38" spans="1:4" x14ac:dyDescent="0.25">
      <c r="A38" s="25" t="s">
        <v>220</v>
      </c>
      <c r="B38" s="44">
        <f>_xlfn.XLOOKUP(A38,'Change in state retail prices'!A:A,'Change in state retail prices'!K:K,"Not found")</f>
        <v>-0.70641333522831218</v>
      </c>
      <c r="C38" s="49">
        <v>0.20459240496147432</v>
      </c>
      <c r="D38" s="84">
        <f>_xlfn.XLOOKUP(A38,'State growth in retail sales'!A:A,'State growth in retail sales'!H:H,"Not found")/1000</f>
        <v>106.55200000000001</v>
      </c>
    </row>
    <row r="39" spans="1:4" x14ac:dyDescent="0.25">
      <c r="A39" s="25" t="s">
        <v>222</v>
      </c>
      <c r="B39" s="44">
        <f>_xlfn.XLOOKUP(A39,'Change in state retail prices'!A:A,'Change in state retail prices'!K:K,"Not found")</f>
        <v>-0.57404722554971421</v>
      </c>
      <c r="C39" s="49">
        <v>0.36364975046336495</v>
      </c>
      <c r="D39" s="84">
        <f>_xlfn.XLOOKUP(A39,'State growth in retail sales'!A:A,'State growth in retail sales'!H:H,"Not found")/1000</f>
        <v>52.963000000000001</v>
      </c>
    </row>
    <row r="40" spans="1:4" x14ac:dyDescent="0.25">
      <c r="A40" s="25" t="s">
        <v>223</v>
      </c>
      <c r="B40" s="44">
        <f>_xlfn.XLOOKUP(A40,'Change in state retail prices'!A:A,'Change in state retail prices'!K:K,"Not found")</f>
        <v>-0.26792020790611737</v>
      </c>
      <c r="C40" s="49">
        <v>0.70754326616424812</v>
      </c>
      <c r="D40" s="84">
        <f>_xlfn.XLOOKUP(A40,'State growth in retail sales'!A:A,'State growth in retail sales'!H:H,"Not found")/1000</f>
        <v>98.075000000000003</v>
      </c>
    </row>
    <row r="41" spans="1:4" x14ac:dyDescent="0.25">
      <c r="A41" s="25" t="s">
        <v>224</v>
      </c>
      <c r="B41" s="44">
        <f>_xlfn.XLOOKUP(A41,'Change in state retail prices'!A:A,'Change in state retail prices'!K:K,"Not found")</f>
        <v>-0.45795756603658688</v>
      </c>
      <c r="C41" s="49">
        <v>0.48067999261623434</v>
      </c>
      <c r="D41" s="84">
        <f>_xlfn.XLOOKUP(A41,'State growth in retail sales'!A:A,'State growth in retail sales'!H:H,"Not found")/1000</f>
        <v>75.114999999999995</v>
      </c>
    </row>
    <row r="42" spans="1:4" x14ac:dyDescent="0.25">
      <c r="A42" s="25" t="s">
        <v>225</v>
      </c>
      <c r="B42" s="44">
        <f>_xlfn.XLOOKUP(A42,'Change in state retail prices'!A:A,'Change in state retail prices'!K:K,"Not found")</f>
        <v>-0.71547519948023464</v>
      </c>
      <c r="C42" s="49">
        <v>0.50301263227732906</v>
      </c>
      <c r="D42" s="84">
        <f>_xlfn.XLOOKUP(A42,'State growth in retail sales'!A:A,'State growth in retail sales'!H:H,"Not found")/1000</f>
        <v>519.70000000000005</v>
      </c>
    </row>
    <row r="43" spans="1:4" x14ac:dyDescent="0.25">
      <c r="A43" s="25" t="s">
        <v>227</v>
      </c>
      <c r="B43" s="44">
        <f>_xlfn.XLOOKUP(A43,'Change in state retail prices'!A:A,'Change in state retail prices'!K:K,"Not found")</f>
        <v>-0.33224523765488989</v>
      </c>
      <c r="C43" s="49">
        <v>0.43273576735045338</v>
      </c>
      <c r="D43" s="84">
        <f>_xlfn.XLOOKUP(A43,'State growth in retail sales'!A:A,'State growth in retail sales'!H:H,"Not found")/1000</f>
        <v>91.552000000000007</v>
      </c>
    </row>
    <row r="44" spans="1:4" x14ac:dyDescent="0.25">
      <c r="A44" s="25" t="s">
        <v>228</v>
      </c>
      <c r="B44" s="44">
        <f>_xlfn.XLOOKUP(A44,'Change in state retail prices'!A:A,'Change in state retail prices'!K:K,"Not found")</f>
        <v>-8.9680044386906133E-2</v>
      </c>
      <c r="C44" s="49">
        <v>0.29070864829790777</v>
      </c>
      <c r="D44" s="84">
        <f>_xlfn.XLOOKUP(A44,'State growth in retail sales'!A:A,'State growth in retail sales'!H:H,"Not found")/1000</f>
        <v>56.652000000000001</v>
      </c>
    </row>
    <row r="45" spans="1:4" x14ac:dyDescent="0.25">
      <c r="A45" s="25" t="s">
        <v>229</v>
      </c>
      <c r="B45" s="44">
        <f>_xlfn.XLOOKUP(A45,'Change in state retail prices'!A:A,'Change in state retail prices'!K:K,"Not found")</f>
        <v>-0.23668392824116857</v>
      </c>
      <c r="C45" s="49">
        <v>0.27345157478471843</v>
      </c>
      <c r="D45" s="84">
        <f>_xlfn.XLOOKUP(A45,'State growth in retail sales'!A:A,'State growth in retail sales'!H:H,"Not found")/1000</f>
        <v>26.8</v>
      </c>
    </row>
    <row r="46" spans="1:4" x14ac:dyDescent="0.25">
      <c r="A46" s="25" t="s">
        <v>230</v>
      </c>
      <c r="B46" s="44">
        <f>_xlfn.XLOOKUP(A46,'Change in state retail prices'!A:A,'Change in state retail prices'!K:K,"Not found")</f>
        <v>-0.50553726650637998</v>
      </c>
      <c r="C46" s="49">
        <v>2.8388342418029417E-2</v>
      </c>
      <c r="D46" s="84">
        <f>_xlfn.XLOOKUP(A46,'State growth in retail sales'!A:A,'State growth in retail sales'!H:H,"Not found")/1000</f>
        <v>15.371</v>
      </c>
    </row>
    <row r="47" spans="1:4" x14ac:dyDescent="0.25">
      <c r="A47" s="25" t="s">
        <v>231</v>
      </c>
      <c r="B47" s="44">
        <f>_xlfn.XLOOKUP(A47,'Change in state retail prices'!A:A,'Change in state retail prices'!K:K,"Not found")</f>
        <v>-0.79206399112261572</v>
      </c>
      <c r="C47" s="49">
        <v>0.57559921438607176</v>
      </c>
      <c r="D47" s="84">
        <f>_xlfn.XLOOKUP(A47,'State growth in retail sales'!A:A,'State growth in retail sales'!H:H,"Not found")/1000</f>
        <v>39.845999999999997</v>
      </c>
    </row>
    <row r="48" spans="1:4" x14ac:dyDescent="0.25">
      <c r="A48" s="25" t="s">
        <v>232</v>
      </c>
      <c r="B48" s="44">
        <f>_xlfn.XLOOKUP(A48,'Change in state retail prices'!A:A,'Change in state retail prices'!K:K,"Not found")</f>
        <v>-1.8076031070834109</v>
      </c>
      <c r="C48" s="49">
        <v>0.30503513916741914</v>
      </c>
      <c r="D48" s="84">
        <f>_xlfn.XLOOKUP(A48,'State growth in retail sales'!A:A,'State growth in retail sales'!H:H,"Not found")/1000</f>
        <v>31.577999999999999</v>
      </c>
    </row>
    <row r="49" spans="1:4" x14ac:dyDescent="0.25">
      <c r="A49" s="25" t="s">
        <v>233</v>
      </c>
      <c r="B49" s="44">
        <f>_xlfn.XLOOKUP(A49,'Change in state retail prices'!A:A,'Change in state retail prices'!K:K,"Not found")</f>
        <v>0.25075087849084632</v>
      </c>
      <c r="C49" s="49">
        <v>0.28242270813379255</v>
      </c>
      <c r="D49" s="84">
        <f>_xlfn.XLOOKUP(A49,'State growth in retail sales'!A:A,'State growth in retail sales'!H:H,"Not found")/1000</f>
        <v>35.073999999999998</v>
      </c>
    </row>
    <row r="50" spans="1:4" x14ac:dyDescent="0.25">
      <c r="A50" s="25" t="s">
        <v>234</v>
      </c>
      <c r="B50" s="44">
        <f>_xlfn.XLOOKUP(A50,'Change in state retail prices'!A:A,'Change in state retail prices'!K:K,"Not found")</f>
        <v>-0.49222304420196039</v>
      </c>
      <c r="C50" s="49">
        <v>5.8459431442057549E-2</v>
      </c>
      <c r="D50" s="84">
        <f>_xlfn.XLOOKUP(A50,'State growth in retail sales'!A:A,'State growth in retail sales'!H:H,"Not found")/1000</f>
        <v>17.335999999999999</v>
      </c>
    </row>
    <row r="51" spans="1:4" x14ac:dyDescent="0.25">
      <c r="A51" s="25" t="s">
        <v>236</v>
      </c>
      <c r="B51" s="44">
        <f>_xlfn.XLOOKUP(A51,'Change in state retail prices'!A:A,'Change in state retail prices'!K:K,"Not found")</f>
        <v>6.2730682448677619</v>
      </c>
      <c r="C51" s="49">
        <v>0.39268441690653788</v>
      </c>
      <c r="D51" s="84">
        <f>_xlfn.XLOOKUP(A51,'State growth in retail sales'!A:A,'State growth in retail sales'!H:H,"Not found")/1000</f>
        <v>237.95699999999999</v>
      </c>
    </row>
    <row r="52" spans="1:4" x14ac:dyDescent="0.25">
      <c r="A52" s="25" t="s">
        <v>237</v>
      </c>
      <c r="B52" s="44">
        <f>_xlfn.XLOOKUP(A52,'Change in state retail prices'!A:A,'Change in state retail prices'!K:K,"Not found")</f>
        <v>0.37000184945440928</v>
      </c>
      <c r="C52" s="49">
        <v>0.34083646429442271</v>
      </c>
      <c r="D52" s="84">
        <f>_xlfn.XLOOKUP(A52,'State growth in retail sales'!A:A,'State growth in retail sales'!H:H,"Not found")/1000</f>
        <v>61.567</v>
      </c>
    </row>
    <row r="53" spans="1:4" x14ac:dyDescent="0.25">
      <c r="A53" s="25" t="s">
        <v>238</v>
      </c>
      <c r="B53" s="44">
        <f>_xlfn.XLOOKUP(A53,'Change in state retail prices'!A:A,'Change in state retail prices'!K:K,"Not found")</f>
        <v>0.89364527464398158</v>
      </c>
      <c r="C53" s="49">
        <v>0.15164143533984697</v>
      </c>
      <c r="D53" s="84">
        <f>_xlfn.XLOOKUP(A53,'State growth in retail sales'!A:A,'State growth in retail sales'!H:H,"Not found")/1000</f>
        <v>91.043999999999997</v>
      </c>
    </row>
    <row r="54" spans="1:4" x14ac:dyDescent="0.25">
      <c r="A54" s="25" t="s">
        <v>240</v>
      </c>
      <c r="B54" s="44">
        <f>_xlfn.XLOOKUP(A54,'Change in state retail prices'!A:A,'Change in state retail prices'!K:K,"Not found")</f>
        <v>-2.5176234510819278</v>
      </c>
      <c r="C54" s="49">
        <v>0.45035566061687476</v>
      </c>
      <c r="D54" s="84">
        <f>_xlfn.XLOOKUP(A54,'State growth in retail sales'!A:A,'State growth in retail sales'!H:H,"Not found")/1000</f>
        <v>6.1180000000000003</v>
      </c>
    </row>
    <row r="55" spans="1:4" x14ac:dyDescent="0.25">
      <c r="A55" s="25" t="s">
        <v>241</v>
      </c>
      <c r="B55" s="44">
        <f>_xlfn.XLOOKUP(A55,'Change in state retail prices'!A:A,'Change in state retail prices'!K:K,"Not found")</f>
        <v>-0.59563528759016293</v>
      </c>
      <c r="C55" s="49">
        <v>0</v>
      </c>
      <c r="D55" s="84">
        <f>_xlfn.XLOOKUP(A55,'State growth in retail sales'!A:A,'State growth in retail sales'!H:H,"Not found")/1000</f>
        <v>9.1370000000000005</v>
      </c>
    </row>
    <row r="58" spans="1:4" x14ac:dyDescent="0.25">
      <c r="A58" s="114" t="s">
        <v>197</v>
      </c>
      <c r="B58" s="28" t="s">
        <v>356</v>
      </c>
    </row>
    <row r="59" spans="1:4" x14ac:dyDescent="0.25">
      <c r="A59" s="114"/>
      <c r="B59" s="28" t="s">
        <v>367</v>
      </c>
    </row>
    <row r="60" spans="1:4" x14ac:dyDescent="0.25">
      <c r="B60" s="28"/>
    </row>
    <row r="61" spans="1:4" x14ac:dyDescent="0.25">
      <c r="A61" s="114" t="s">
        <v>205</v>
      </c>
      <c r="B61" s="28" t="s">
        <v>761</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C19BA-62F7-48AC-8306-AB0B6FED6753}">
  <sheetPr>
    <tabColor theme="9" tint="0.59999389629810485"/>
  </sheetPr>
  <dimension ref="A1:AI64"/>
  <sheetViews>
    <sheetView workbookViewId="0">
      <selection activeCell="AK9" sqref="AK9"/>
    </sheetView>
  </sheetViews>
  <sheetFormatPr defaultRowHeight="15" x14ac:dyDescent="0.25"/>
  <cols>
    <col min="1" max="1" width="10.7109375" style="25" customWidth="1"/>
    <col min="2" max="4" width="18.5703125" style="25" customWidth="1"/>
    <col min="5" max="5" width="10" customWidth="1"/>
    <col min="6" max="8" width="18.5703125" customWidth="1"/>
    <col min="9" max="9" width="9.85546875" customWidth="1"/>
    <col min="10" max="12" width="18.5703125" customWidth="1"/>
    <col min="13" max="13" width="9.5703125" customWidth="1"/>
    <col min="14" max="20" width="18.5703125" customWidth="1"/>
    <col min="21" max="21" width="9.28515625" customWidth="1"/>
    <col min="22" max="24" width="18.5703125" customWidth="1"/>
    <col min="25" max="25" width="9.28515625" customWidth="1"/>
    <col min="26" max="28" width="18.5703125" customWidth="1"/>
    <col min="29" max="29" width="10.140625" style="30" customWidth="1"/>
    <col min="30" max="31" width="18.5703125" customWidth="1"/>
    <col min="32" max="32" width="10.42578125" style="30" customWidth="1"/>
    <col min="33" max="34" width="18.5703125" customWidth="1"/>
  </cols>
  <sheetData>
    <row r="1" spans="1:35" x14ac:dyDescent="0.25">
      <c r="A1" s="59" t="s">
        <v>105</v>
      </c>
    </row>
    <row r="2" spans="1:35" x14ac:dyDescent="0.25">
      <c r="A2" s="28" t="s">
        <v>106</v>
      </c>
    </row>
    <row r="4" spans="1:35" x14ac:dyDescent="0.25">
      <c r="A4" s="28" t="s">
        <v>768</v>
      </c>
      <c r="B4" s="44"/>
      <c r="C4" s="49"/>
      <c r="D4" s="84"/>
      <c r="E4" s="25"/>
      <c r="F4" s="179"/>
    </row>
    <row r="5" spans="1:35" x14ac:dyDescent="0.25">
      <c r="A5" s="291" t="s">
        <v>474</v>
      </c>
      <c r="B5" s="291"/>
      <c r="C5" s="291"/>
      <c r="D5" s="291"/>
      <c r="E5" s="291" t="s">
        <v>475</v>
      </c>
      <c r="F5" s="291"/>
      <c r="G5" s="291"/>
      <c r="H5" s="291"/>
      <c r="I5" s="290" t="s">
        <v>476</v>
      </c>
      <c r="J5" s="291"/>
      <c r="K5" s="291"/>
      <c r="L5" s="292"/>
      <c r="M5" s="290" t="s">
        <v>477</v>
      </c>
      <c r="N5" s="291"/>
      <c r="O5" s="291"/>
      <c r="P5" s="292"/>
      <c r="Q5" s="290" t="s">
        <v>478</v>
      </c>
      <c r="R5" s="291"/>
      <c r="S5" s="291"/>
      <c r="T5" s="292"/>
      <c r="U5" s="290" t="s">
        <v>479</v>
      </c>
      <c r="V5" s="291"/>
      <c r="W5" s="291"/>
      <c r="X5" s="292"/>
      <c r="Y5" s="290" t="s">
        <v>480</v>
      </c>
      <c r="Z5" s="291"/>
      <c r="AA5" s="291"/>
      <c r="AB5" s="292"/>
      <c r="AC5" s="290" t="s">
        <v>769</v>
      </c>
      <c r="AD5" s="291"/>
      <c r="AE5" s="292"/>
      <c r="AF5" s="290" t="s">
        <v>770</v>
      </c>
      <c r="AG5" s="291"/>
      <c r="AH5" s="292"/>
      <c r="AI5" s="240"/>
    </row>
    <row r="6" spans="1:35" s="54" customFormat="1" ht="30.75" customHeight="1" x14ac:dyDescent="0.25">
      <c r="A6" s="266" t="s">
        <v>158</v>
      </c>
      <c r="B6" s="43" t="s">
        <v>771</v>
      </c>
      <c r="C6" s="43" t="s">
        <v>772</v>
      </c>
      <c r="D6" s="269" t="s">
        <v>773</v>
      </c>
      <c r="E6" s="266" t="s">
        <v>158</v>
      </c>
      <c r="F6" s="43" t="s">
        <v>771</v>
      </c>
      <c r="G6" s="43" t="s">
        <v>772</v>
      </c>
      <c r="H6" s="43" t="s">
        <v>773</v>
      </c>
      <c r="I6" s="266" t="s">
        <v>158</v>
      </c>
      <c r="J6" s="43" t="s">
        <v>771</v>
      </c>
      <c r="K6" s="43" t="s">
        <v>774</v>
      </c>
      <c r="L6" s="269" t="s">
        <v>773</v>
      </c>
      <c r="M6" s="266" t="s">
        <v>158</v>
      </c>
      <c r="N6" s="43" t="s">
        <v>771</v>
      </c>
      <c r="O6" s="43" t="s">
        <v>772</v>
      </c>
      <c r="P6" s="269" t="s">
        <v>773</v>
      </c>
      <c r="Q6" s="266" t="s">
        <v>158</v>
      </c>
      <c r="R6" s="43" t="s">
        <v>771</v>
      </c>
      <c r="S6" s="43" t="s">
        <v>772</v>
      </c>
      <c r="T6" s="269" t="s">
        <v>773</v>
      </c>
      <c r="U6" s="266" t="s">
        <v>158</v>
      </c>
      <c r="V6" s="43" t="s">
        <v>771</v>
      </c>
      <c r="W6" s="43" t="s">
        <v>772</v>
      </c>
      <c r="X6" s="269" t="s">
        <v>773</v>
      </c>
      <c r="Y6" s="266" t="s">
        <v>158</v>
      </c>
      <c r="Z6" s="43" t="s">
        <v>771</v>
      </c>
      <c r="AA6" s="43" t="s">
        <v>772</v>
      </c>
      <c r="AB6" s="269" t="s">
        <v>773</v>
      </c>
      <c r="AC6" s="266" t="s">
        <v>158</v>
      </c>
      <c r="AD6" s="43" t="s">
        <v>771</v>
      </c>
      <c r="AE6" s="269" t="s">
        <v>773</v>
      </c>
      <c r="AF6" s="266" t="s">
        <v>158</v>
      </c>
      <c r="AG6" s="43" t="s">
        <v>771</v>
      </c>
      <c r="AH6" s="269" t="s">
        <v>773</v>
      </c>
      <c r="AI6" s="267"/>
    </row>
    <row r="7" spans="1:35" x14ac:dyDescent="0.25">
      <c r="A7" s="270">
        <v>2010</v>
      </c>
      <c r="B7" s="44">
        <f>B28*'Inflation adjustment'!$F$20/'Inflation adjustment'!$F5</f>
        <v>19.429431137995813</v>
      </c>
      <c r="C7" s="272">
        <f>C28*'Inflation adjustment'!$F$20/'Inflation adjustment'!$F5</f>
        <v>6.0601546462936806</v>
      </c>
      <c r="D7" s="273"/>
      <c r="E7" s="270">
        <v>2010</v>
      </c>
      <c r="F7" s="44">
        <f>F28*'Inflation adjustment'!$F$20/'Inflation adjustment'!$F5</f>
        <v>14.324776832878653</v>
      </c>
      <c r="G7" s="272">
        <f>G28*'Inflation adjustment'!$F$20/'Inflation adjustment'!$F5</f>
        <v>5.7909123907819318</v>
      </c>
      <c r="H7" s="273"/>
      <c r="I7" s="270">
        <v>2010</v>
      </c>
      <c r="J7" s="44">
        <f>J28*'Inflation adjustment'!$F$20/'Inflation adjustment'!$F5</f>
        <v>12.564963871339067</v>
      </c>
      <c r="K7" s="272">
        <f>K28*'Inflation adjustment'!$F$20/'Inflation adjustment'!$F5</f>
        <v>4.9787996884033445</v>
      </c>
      <c r="L7" s="273"/>
      <c r="M7" s="270">
        <v>2010</v>
      </c>
      <c r="N7" s="44">
        <f>N28*'Inflation adjustment'!$F$20/'Inflation adjustment'!$F5</f>
        <v>11.471336973876276</v>
      </c>
      <c r="O7" s="272">
        <f>O28*'Inflation adjustment'!$F$20/'Inflation adjustment'!$F5</f>
        <v>4.7281386552609259</v>
      </c>
      <c r="P7" s="273"/>
      <c r="Q7" s="270">
        <v>2010</v>
      </c>
      <c r="R7" s="44">
        <f>R28*'Inflation adjustment'!$F$20/'Inflation adjustment'!$F5</f>
        <v>14.857040301488283</v>
      </c>
      <c r="S7" s="272">
        <f>S28*'Inflation adjustment'!$F$20/'Inflation adjustment'!$F5</f>
        <v>7.1371171040077694</v>
      </c>
      <c r="T7" s="273"/>
      <c r="U7" s="270">
        <v>2010</v>
      </c>
      <c r="V7" s="44">
        <f>V28*'Inflation adjustment'!$F$20/'Inflation adjustment'!$F5</f>
        <v>23.840852017861824</v>
      </c>
      <c r="W7" s="272">
        <f>W28*'Inflation adjustment'!$F$20/'Inflation adjustment'!$F5</f>
        <v>7.7183532293869632</v>
      </c>
      <c r="X7" s="273"/>
      <c r="Y7" s="270">
        <v>2010</v>
      </c>
      <c r="Z7" s="44">
        <f>Z28*'Inflation adjustment'!$F$20/'Inflation adjustment'!$F5</f>
        <v>21.984115974048308</v>
      </c>
      <c r="AA7" s="272">
        <f>AA28*'Inflation adjustment'!$F$20/'Inflation adjustment'!$F5</f>
        <v>7.785398519634084</v>
      </c>
      <c r="AB7" s="273"/>
      <c r="AC7" s="274">
        <v>2010</v>
      </c>
      <c r="AD7" s="272">
        <f>AD28*'Inflation adjustment'!$F$20/'Inflation adjustment'!$F5</f>
        <v>12.379063297992206</v>
      </c>
      <c r="AE7" s="273"/>
      <c r="AF7" s="274">
        <v>2010</v>
      </c>
      <c r="AG7" s="272">
        <f>AG28*'Inflation adjustment'!$F$20/'Inflation adjustment'!$F5</f>
        <v>13.147085965489975</v>
      </c>
      <c r="AH7" s="273"/>
      <c r="AI7" s="240"/>
    </row>
    <row r="8" spans="1:35" x14ac:dyDescent="0.25">
      <c r="A8" s="270">
        <v>2011</v>
      </c>
      <c r="B8" s="44">
        <f>B29*'Inflation adjustment'!$F$20/'Inflation adjustment'!$F6</f>
        <v>18.862515022635872</v>
      </c>
      <c r="C8" s="272">
        <f>C29*'Inflation adjustment'!$F$20/'Inflation adjustment'!$F6</f>
        <v>4.5891463084524915</v>
      </c>
      <c r="D8" s="273"/>
      <c r="E8" s="270">
        <v>2011</v>
      </c>
      <c r="F8" s="44">
        <f>F29*'Inflation adjustment'!$F$20/'Inflation adjustment'!$F6</f>
        <v>13.22244917571164</v>
      </c>
      <c r="G8" s="272">
        <f>G29*'Inflation adjustment'!$F$20/'Inflation adjustment'!$F6</f>
        <v>7.2820692834286671</v>
      </c>
      <c r="H8" s="273"/>
      <c r="I8" s="270">
        <v>2011</v>
      </c>
      <c r="J8" s="44">
        <f>J29*'Inflation adjustment'!$F$20/'Inflation adjustment'!$F6</f>
        <v>12.612960303547569</v>
      </c>
      <c r="K8" s="272">
        <f>K29*'Inflation adjustment'!$F$20/'Inflation adjustment'!$F6</f>
        <v>4.7823331513022662</v>
      </c>
      <c r="L8" s="273"/>
      <c r="M8" s="270">
        <v>2011</v>
      </c>
      <c r="N8" s="44">
        <f>N29*'Inflation adjustment'!$F$20/'Inflation adjustment'!$F6</f>
        <v>11.578940132919776</v>
      </c>
      <c r="O8" s="272">
        <f>O29*'Inflation adjustment'!$F$20/'Inflation adjustment'!$F6</f>
        <v>4.3057846146323993</v>
      </c>
      <c r="P8" s="273"/>
      <c r="Q8" s="270">
        <v>2011</v>
      </c>
      <c r="R8" s="44">
        <f>R29*'Inflation adjustment'!$F$20/'Inflation adjustment'!$F6</f>
        <v>14.362671669140047</v>
      </c>
      <c r="S8" s="272">
        <f>S29*'Inflation adjustment'!$F$20/'Inflation adjustment'!$F6</f>
        <v>6.5747096808901748</v>
      </c>
      <c r="T8" s="273"/>
      <c r="U8" s="270">
        <v>2011</v>
      </c>
      <c r="V8" s="44">
        <f>V29*'Inflation adjustment'!$F$20/'Inflation adjustment'!$F6</f>
        <v>22.542942085326164</v>
      </c>
      <c r="W8" s="272">
        <f>W29*'Inflation adjustment'!$F$20/'Inflation adjustment'!$F6</f>
        <v>6.9353752087116032</v>
      </c>
      <c r="X8" s="273"/>
      <c r="Y8" s="270">
        <v>2011</v>
      </c>
      <c r="Z8" s="44">
        <f>Z29*'Inflation adjustment'!$F$20/'Inflation adjustment'!$F6</f>
        <v>20.722902491831267</v>
      </c>
      <c r="AA8" s="272">
        <f>AA29*'Inflation adjustment'!$F$20/'Inflation adjustment'!$F6</f>
        <v>7.0455174777825711</v>
      </c>
      <c r="AB8" s="273"/>
      <c r="AC8" s="274">
        <v>2011</v>
      </c>
      <c r="AD8" s="272">
        <f>AD29*'Inflation adjustment'!$F$20/'Inflation adjustment'!$F6</f>
        <v>12.212227573268038</v>
      </c>
      <c r="AE8" s="273"/>
      <c r="AF8" s="274">
        <v>2011</v>
      </c>
      <c r="AG8" s="272">
        <f>AG29*'Inflation adjustment'!$F$20/'Inflation adjustment'!$F6</f>
        <v>13.110509821896207</v>
      </c>
      <c r="AH8" s="273"/>
      <c r="AI8" s="240"/>
    </row>
    <row r="9" spans="1:35" x14ac:dyDescent="0.25">
      <c r="A9" s="270">
        <v>2012</v>
      </c>
      <c r="B9" s="44">
        <f>B30*'Inflation adjustment'!$F$20/'Inflation adjustment'!$F7</f>
        <v>19.503495088633972</v>
      </c>
      <c r="C9" s="272">
        <f>C30*'Inflation adjustment'!$F$20/'Inflation adjustment'!$F7</f>
        <v>4.5254859826443008</v>
      </c>
      <c r="D9" s="273"/>
      <c r="E9" s="270">
        <v>2012</v>
      </c>
      <c r="F9" s="44">
        <f>F30*'Inflation adjustment'!$F$20/'Inflation adjustment'!$F7</f>
        <v>12.413555714203017</v>
      </c>
      <c r="G9" s="272">
        <f>G30*'Inflation adjustment'!$F$20/'Inflation adjustment'!$F7</f>
        <v>3.7025427376080393</v>
      </c>
      <c r="H9" s="273"/>
      <c r="I9" s="270">
        <v>2012</v>
      </c>
      <c r="J9" s="44">
        <f>J30*'Inflation adjustment'!$F$20/'Inflation adjustment'!$F7</f>
        <v>12.678232414370001</v>
      </c>
      <c r="K9" s="272">
        <f>K30*'Inflation adjustment'!$F$20/'Inflation adjustment'!$F7</f>
        <v>4.0589761227177537</v>
      </c>
      <c r="L9" s="273"/>
      <c r="M9" s="270">
        <v>2012</v>
      </c>
      <c r="N9" s="44">
        <f>N30*'Inflation adjustment'!$F$20/'Inflation adjustment'!$F7</f>
        <v>11.390234488895512</v>
      </c>
      <c r="O9" s="272">
        <f>O30*'Inflation adjustment'!$F$20/'Inflation adjustment'!$F7</f>
        <v>3.2105736450631679</v>
      </c>
      <c r="P9" s="273"/>
      <c r="Q9" s="270">
        <v>2012</v>
      </c>
      <c r="R9" s="44">
        <f>R30*'Inflation adjustment'!$F$20/'Inflation adjustment'!$F7</f>
        <v>13.73806830168445</v>
      </c>
      <c r="S9" s="272">
        <f>S30*'Inflation adjustment'!$F$20/'Inflation adjustment'!$F7</f>
        <v>4.9412213687964073</v>
      </c>
      <c r="T9" s="273"/>
      <c r="U9" s="270">
        <v>2012</v>
      </c>
      <c r="V9" s="44">
        <f>V30*'Inflation adjustment'!$F$20/'Inflation adjustment'!$F7</f>
        <v>21.182671770635785</v>
      </c>
      <c r="W9" s="272">
        <f>W30*'Inflation adjustment'!$F$20/'Inflation adjustment'!$F7</f>
        <v>5.3203357609685886</v>
      </c>
      <c r="X9" s="273"/>
      <c r="Y9" s="270">
        <v>2012</v>
      </c>
      <c r="Z9" s="44">
        <f>Z30*'Inflation adjustment'!$F$20/'Inflation adjustment'!$F7</f>
        <v>19.667963406651818</v>
      </c>
      <c r="AA9" s="272">
        <f>AA30*'Inflation adjustment'!$F$20/'Inflation adjustment'!$F7</f>
        <v>5.4035011558986072</v>
      </c>
      <c r="AB9" s="273"/>
      <c r="AC9" s="274">
        <v>2012</v>
      </c>
      <c r="AD9" s="272">
        <f>AD30*'Inflation adjustment'!$F$20/'Inflation adjustment'!$F7</f>
        <v>12.194669066135489</v>
      </c>
      <c r="AE9" s="273"/>
      <c r="AF9" s="274">
        <v>2012</v>
      </c>
      <c r="AG9" s="272">
        <f>AG30*'Inflation adjustment'!$F$20/'Inflation adjustment'!$F7</f>
        <v>12.735530239807115</v>
      </c>
      <c r="AH9" s="273"/>
      <c r="AI9" s="240"/>
    </row>
    <row r="10" spans="1:35" x14ac:dyDescent="0.25">
      <c r="A10" s="270">
        <v>2013</v>
      </c>
      <c r="B10" s="44">
        <f>B31*'Inflation adjustment'!$F$20/'Inflation adjustment'!$F8</f>
        <v>20.479752141949032</v>
      </c>
      <c r="C10" s="272">
        <f>C31*'Inflation adjustment'!$F$20/'Inflation adjustment'!$F8</f>
        <v>5.707889241888104</v>
      </c>
      <c r="D10" s="273"/>
      <c r="E10" s="270">
        <v>2013</v>
      </c>
      <c r="F10" s="44">
        <f>F31*'Inflation adjustment'!$F$20/'Inflation adjustment'!$F8</f>
        <v>12.386993425869679</v>
      </c>
      <c r="G10" s="272">
        <f>G31*'Inflation adjustment'!$F$20/'Inflation adjustment'!$F8</f>
        <v>4.4847846592054337</v>
      </c>
      <c r="H10" s="273"/>
      <c r="I10" s="270">
        <v>2013</v>
      </c>
      <c r="J10" s="44">
        <f>J31*'Inflation adjustment'!$F$20/'Inflation adjustment'!$F8</f>
        <v>12.386184080324806</v>
      </c>
      <c r="K10" s="272">
        <f>K31*'Inflation adjustment'!$F$20/'Inflation adjustment'!$F8</f>
        <v>4.4854722279164365</v>
      </c>
      <c r="L10" s="273"/>
      <c r="M10" s="270">
        <v>2013</v>
      </c>
      <c r="N10" s="44">
        <f>N31*'Inflation adjustment'!$F$20/'Inflation adjustment'!$F8</f>
        <v>11.65261607348889</v>
      </c>
      <c r="O10" s="272">
        <f>O31*'Inflation adjustment'!$F$20/'Inflation adjustment'!$F8</f>
        <v>3.6368970968534726</v>
      </c>
      <c r="P10" s="273"/>
      <c r="Q10" s="270">
        <v>2013</v>
      </c>
      <c r="R10" s="44">
        <f>R31*'Inflation adjustment'!$F$20/'Inflation adjustment'!$F8</f>
        <v>13.639867251039711</v>
      </c>
      <c r="S10" s="272">
        <f>S31*'Inflation adjustment'!$F$20/'Inflation adjustment'!$F8</f>
        <v>5.3449186414947052</v>
      </c>
      <c r="T10" s="273"/>
      <c r="U10" s="270">
        <v>2013</v>
      </c>
      <c r="V10" s="44">
        <f>V31*'Inflation adjustment'!$F$20/'Inflation adjustment'!$F8</f>
        <v>21.580509377588594</v>
      </c>
      <c r="W10" s="272">
        <f>W31*'Inflation adjustment'!$F$20/'Inflation adjustment'!$F8</f>
        <v>6.9305717983528199</v>
      </c>
      <c r="X10" s="273"/>
      <c r="Y10" s="270">
        <v>2013</v>
      </c>
      <c r="Z10" s="44">
        <f>Z31*'Inflation adjustment'!$F$20/'Inflation adjustment'!$F8</f>
        <v>19.980238345240718</v>
      </c>
      <c r="AA10" s="272">
        <f>AA31*'Inflation adjustment'!$F$20/'Inflation adjustment'!$F8</f>
        <v>8.3608549164497283</v>
      </c>
      <c r="AB10" s="273"/>
      <c r="AC10" s="274">
        <v>2013</v>
      </c>
      <c r="AD10" s="272">
        <f>AD31*'Inflation adjustment'!$F$20/'Inflation adjustment'!$F8</f>
        <v>12.463441223451069</v>
      </c>
      <c r="AE10" s="273"/>
      <c r="AF10" s="274">
        <v>2013</v>
      </c>
      <c r="AG10" s="272">
        <f>AG31*'Inflation adjustment'!$F$20/'Inflation adjustment'!$F8</f>
        <v>13.022706343414983</v>
      </c>
      <c r="AH10" s="273"/>
      <c r="AI10" s="240"/>
    </row>
    <row r="11" spans="1:35" x14ac:dyDescent="0.25">
      <c r="A11" s="270">
        <v>2014</v>
      </c>
      <c r="B11" s="44">
        <f>B32*'Inflation adjustment'!$F$20/'Inflation adjustment'!$F9</f>
        <v>21.268843359842904</v>
      </c>
      <c r="C11" s="272">
        <f>C32*'Inflation adjustment'!$F$20/'Inflation adjustment'!$F9</f>
        <v>6.2398128157779444</v>
      </c>
      <c r="D11" s="273">
        <f>D32*'Inflation adjustment'!$F$20/'Inflation adjustment'!$F9</f>
        <v>6.579125369638378</v>
      </c>
      <c r="E11" s="270">
        <v>2014</v>
      </c>
      <c r="F11" s="44">
        <f>F32*'Inflation adjustment'!$F$20/'Inflation adjustment'!$F9</f>
        <v>12.482532440544906</v>
      </c>
      <c r="G11" s="272">
        <f>G32*'Inflation adjustment'!$F$20/'Inflation adjustment'!$F9</f>
        <v>6.3349559249407497</v>
      </c>
      <c r="H11" s="273">
        <f>H32*'Inflation adjustment'!$F$20/'Inflation adjustment'!$F9</f>
        <v>6.0548411950325738</v>
      </c>
      <c r="I11" s="270">
        <v>2014</v>
      </c>
      <c r="J11" s="44">
        <f>J32*'Inflation adjustment'!$F$20/'Inflation adjustment'!$F9</f>
        <v>12.501920285997386</v>
      </c>
      <c r="K11" s="272">
        <f>K32*'Inflation adjustment'!$F$20/'Inflation adjustment'!$F9</f>
        <v>5.2593765916984063</v>
      </c>
      <c r="L11" s="273">
        <f>L32*'Inflation adjustment'!$F$20/'Inflation adjustment'!$F9</f>
        <v>7.9738067436450777</v>
      </c>
      <c r="M11" s="270">
        <v>2014</v>
      </c>
      <c r="N11" s="44">
        <f>N32*'Inflation adjustment'!$F$20/'Inflation adjustment'!$F9</f>
        <v>11.870762640984809</v>
      </c>
      <c r="O11" s="272">
        <f>O32*'Inflation adjustment'!$F$20/'Inflation adjustment'!$F9</f>
        <v>4.4644746262446429</v>
      </c>
      <c r="P11" s="273">
        <f>P32*'Inflation adjustment'!$F$20/'Inflation adjustment'!$F9</f>
        <v>6.0770787490028653</v>
      </c>
      <c r="Q11" s="270">
        <v>2014</v>
      </c>
      <c r="R11" s="44">
        <f>R32*'Inflation adjustment'!$F$20/'Inflation adjustment'!$F9</f>
        <v>13.981855720004063</v>
      </c>
      <c r="S11" s="272">
        <f>S32*'Inflation adjustment'!$F$20/'Inflation adjustment'!$F9</f>
        <v>7.234929178529887</v>
      </c>
      <c r="T11" s="273">
        <f>T32*'Inflation adjustment'!$F$20/'Inflation adjustment'!$F9</f>
        <v>7.2564812635736331</v>
      </c>
      <c r="U11" s="270">
        <v>2014</v>
      </c>
      <c r="V11" s="44">
        <f>V32*'Inflation adjustment'!$F$20/'Inflation adjustment'!$F9</f>
        <v>22.376762106988824</v>
      </c>
      <c r="W11" s="272">
        <f>W32*'Inflation adjustment'!$F$20/'Inflation adjustment'!$F9</f>
        <v>7.7958387468318264</v>
      </c>
      <c r="X11" s="273">
        <f>X32*'Inflation adjustment'!$F$20/'Inflation adjustment'!$F9</f>
        <v>9.0239607271397819</v>
      </c>
      <c r="Y11" s="270">
        <v>2014</v>
      </c>
      <c r="Z11" s="44">
        <f>Z32*'Inflation adjustment'!$F$20/'Inflation adjustment'!$F9</f>
        <v>21.067442388170175</v>
      </c>
      <c r="AA11" s="272">
        <f>AA32*'Inflation adjustment'!$F$20/'Inflation adjustment'!$F9</f>
        <v>9.3768933347548309</v>
      </c>
      <c r="AB11" s="273">
        <f>AB32*'Inflation adjustment'!$F$20/'Inflation adjustment'!$F9</f>
        <v>11.228417794723994</v>
      </c>
      <c r="AC11" s="274">
        <v>2014</v>
      </c>
      <c r="AD11" s="272">
        <f>AD32*'Inflation adjustment'!$F$20/'Inflation adjustment'!$F9</f>
        <v>12.645745260312001</v>
      </c>
      <c r="AE11" s="273"/>
      <c r="AF11" s="274">
        <v>2014</v>
      </c>
      <c r="AG11" s="272">
        <f>AG32*'Inflation adjustment'!$F$20/'Inflation adjustment'!$F9</f>
        <v>13.328704561483775</v>
      </c>
      <c r="AH11" s="273"/>
      <c r="AI11" s="240"/>
    </row>
    <row r="12" spans="1:35" x14ac:dyDescent="0.25">
      <c r="A12" s="270">
        <v>2015</v>
      </c>
      <c r="B12" s="44">
        <f>B33*'Inflation adjustment'!$F$20/'Inflation adjustment'!$F10</f>
        <v>21.567614013585658</v>
      </c>
      <c r="C12" s="272">
        <f>C33*'Inflation adjustment'!$F$20/'Inflation adjustment'!$F10</f>
        <v>4.4979449996838081</v>
      </c>
      <c r="D12" s="273">
        <f>D33*'Inflation adjustment'!$F$20/'Inflation adjustment'!$F10</f>
        <v>3.9252271953710314</v>
      </c>
      <c r="E12" s="270">
        <v>2015</v>
      </c>
      <c r="F12" s="44">
        <f>F33*'Inflation adjustment'!$F$20/'Inflation adjustment'!$F10</f>
        <v>12.086851749439203</v>
      </c>
      <c r="G12" s="272">
        <f>G33*'Inflation adjustment'!$F$20/'Inflation adjustment'!$F10</f>
        <v>3.5245541934340818</v>
      </c>
      <c r="H12" s="273">
        <f>H33*'Inflation adjustment'!$F$20/'Inflation adjustment'!$F10</f>
        <v>3.6093764979060325</v>
      </c>
      <c r="I12" s="270">
        <v>2015</v>
      </c>
      <c r="J12" s="44">
        <f>J33*'Inflation adjustment'!$F$20/'Inflation adjustment'!$F10</f>
        <v>12.511579989678848</v>
      </c>
      <c r="K12" s="272">
        <f>K33*'Inflation adjustment'!$F$20/'Inflation adjustment'!$F10</f>
        <v>3.7096523267969079</v>
      </c>
      <c r="L12" s="273">
        <f>L33*'Inflation adjustment'!$F$20/'Inflation adjustment'!$F10</f>
        <v>3.8637013312355175</v>
      </c>
      <c r="M12" s="270">
        <v>2015</v>
      </c>
      <c r="N12" s="44">
        <f>N33*'Inflation adjustment'!$F$20/'Inflation adjustment'!$F10</f>
        <v>11.705584241367673</v>
      </c>
      <c r="O12" s="272">
        <f>O33*'Inflation adjustment'!$F$20/'Inflation adjustment'!$F10</f>
        <v>3.1033897859424391</v>
      </c>
      <c r="P12" s="273">
        <f>P33*'Inflation adjustment'!$F$20/'Inflation adjustment'!$F10</f>
        <v>3.4270847555875514</v>
      </c>
      <c r="Q12" s="270">
        <v>2015</v>
      </c>
      <c r="R12" s="44">
        <f>R33*'Inflation adjustment'!$F$20/'Inflation adjustment'!$F10</f>
        <v>14.062933698905747</v>
      </c>
      <c r="S12" s="272">
        <f>S33*'Inflation adjustment'!$F$20/'Inflation adjustment'!$F10</f>
        <v>4.9163228003684969</v>
      </c>
      <c r="T12" s="273">
        <f>T33*'Inflation adjustment'!$F$20/'Inflation adjustment'!$F10</f>
        <v>3.9403061224226761</v>
      </c>
      <c r="U12" s="270">
        <v>2015</v>
      </c>
      <c r="V12" s="44">
        <f>V33*'Inflation adjustment'!$F$20/'Inflation adjustment'!$F10</f>
        <v>20.950787108668155</v>
      </c>
      <c r="W12" s="272">
        <f>W33*'Inflation adjustment'!$F$20/'Inflation adjustment'!$F10</f>
        <v>5.2064618896489669</v>
      </c>
      <c r="X12" s="273">
        <f>X33*'Inflation adjustment'!$F$20/'Inflation adjustment'!$F10</f>
        <v>5.4899203938997037</v>
      </c>
      <c r="Y12" s="270">
        <v>2015</v>
      </c>
      <c r="Z12" s="44">
        <f>Z33*'Inflation adjustment'!$F$20/'Inflation adjustment'!$F10</f>
        <v>22.500260248038035</v>
      </c>
      <c r="AA12" s="272">
        <f>AA33*'Inflation adjustment'!$F$20/'Inflation adjustment'!$F10</f>
        <v>6.096712189274804</v>
      </c>
      <c r="AB12" s="273">
        <f>AB33*'Inflation adjustment'!$F$20/'Inflation adjustment'!$F10</f>
        <v>6.5094095331843587</v>
      </c>
      <c r="AC12" s="274">
        <v>2015</v>
      </c>
      <c r="AD12" s="272">
        <f>AD33*'Inflation adjustment'!$F$20/'Inflation adjustment'!$F10</f>
        <v>12.910581560182571</v>
      </c>
      <c r="AE12" s="273"/>
      <c r="AF12" s="274">
        <v>2015</v>
      </c>
      <c r="AG12" s="272">
        <f>AG33*'Inflation adjustment'!$F$20/'Inflation adjustment'!$F10</f>
        <v>13.151515326414509</v>
      </c>
      <c r="AH12" s="273"/>
      <c r="AI12" s="240"/>
    </row>
    <row r="13" spans="1:35" x14ac:dyDescent="0.25">
      <c r="A13" s="270">
        <v>2016</v>
      </c>
      <c r="B13" s="44">
        <f>B34*'Inflation adjustment'!$F$20/'Inflation adjustment'!$F11</f>
        <v>21.066983940232856</v>
      </c>
      <c r="C13" s="272">
        <f>C34*'Inflation adjustment'!$F$20/'Inflation adjustment'!$F11</f>
        <v>4.0807411945445944</v>
      </c>
      <c r="D13" s="273">
        <f>D34*'Inflation adjustment'!$F$20/'Inflation adjustment'!$F11</f>
        <v>3.5626560272998842</v>
      </c>
      <c r="E13" s="270">
        <v>2016</v>
      </c>
      <c r="F13" s="44">
        <f>F34*'Inflation adjustment'!$F$20/'Inflation adjustment'!$F11</f>
        <v>11.603691115432113</v>
      </c>
      <c r="G13" s="272">
        <f>G34*'Inflation adjustment'!$F$20/'Inflation adjustment'!$F11</f>
        <v>3.1501419214929056</v>
      </c>
      <c r="H13" s="273">
        <f>H34*'Inflation adjustment'!$F$20/'Inflation adjustment'!$F11</f>
        <v>3.4151800044551135</v>
      </c>
      <c r="I13" s="270">
        <v>2016</v>
      </c>
      <c r="J13" s="44">
        <f>J34*'Inflation adjustment'!$F$20/'Inflation adjustment'!$F11</f>
        <v>12.425516056041687</v>
      </c>
      <c r="K13" s="272">
        <f>K34*'Inflation adjustment'!$F$20/'Inflation adjustment'!$F11</f>
        <v>3.6013793724496379</v>
      </c>
      <c r="L13" s="273">
        <f>L34*'Inflation adjustment'!$F$20/'Inflation adjustment'!$F11</f>
        <v>3.4467275137392956</v>
      </c>
      <c r="M13" s="270">
        <v>2016</v>
      </c>
      <c r="N13" s="44">
        <f>N34*'Inflation adjustment'!$F$20/'Inflation adjustment'!$F11</f>
        <v>11.714888256329155</v>
      </c>
      <c r="O13" s="272">
        <f>O34*'Inflation adjustment'!$F$20/'Inflation adjustment'!$F11</f>
        <v>3.1683680731812087</v>
      </c>
      <c r="P13" s="273">
        <f>P34*'Inflation adjustment'!$F$20/'Inflation adjustment'!$F11</f>
        <v>3.2127342586617442</v>
      </c>
      <c r="Q13" s="270">
        <v>2016</v>
      </c>
      <c r="R13" s="44">
        <f>R34*'Inflation adjustment'!$F$20/'Inflation adjustment'!$F11</f>
        <v>13.797551570869267</v>
      </c>
      <c r="S13" s="272">
        <f>S34*'Inflation adjustment'!$F$20/'Inflation adjustment'!$F11</f>
        <v>3.9236739841933428</v>
      </c>
      <c r="T13" s="273">
        <f>T34*'Inflation adjustment'!$F$20/'Inflation adjustment'!$F11</f>
        <v>2.6389281708109902</v>
      </c>
      <c r="U13" s="270">
        <v>2016</v>
      </c>
      <c r="V13" s="44">
        <f>V34*'Inflation adjustment'!$F$20/'Inflation adjustment'!$F11</f>
        <v>19.608538309742247</v>
      </c>
      <c r="W13" s="272">
        <f>W34*'Inflation adjustment'!$F$20/'Inflation adjustment'!$F11</f>
        <v>4.0340972856228552</v>
      </c>
      <c r="X13" s="273">
        <f>X34*'Inflation adjustment'!$F$20/'Inflation adjustment'!$F11</f>
        <v>3.4785039045902253</v>
      </c>
      <c r="Y13" s="270">
        <v>2016</v>
      </c>
      <c r="Z13" s="44">
        <f>Z34*'Inflation adjustment'!$F$20/'Inflation adjustment'!$F11</f>
        <v>21.707744875866091</v>
      </c>
      <c r="AA13" s="272">
        <f>AA34*'Inflation adjustment'!$F$20/'Inflation adjustment'!$F11</f>
        <v>4.2574288879528197</v>
      </c>
      <c r="AB13" s="273">
        <f>AB34*'Inflation adjustment'!$F$20/'Inflation adjustment'!$F11</f>
        <v>4.2864939821574781</v>
      </c>
      <c r="AC13" s="274">
        <v>2016</v>
      </c>
      <c r="AD13" s="272">
        <f>AD34*'Inflation adjustment'!$F$20/'Inflation adjustment'!$F11</f>
        <v>12.695379315635753</v>
      </c>
      <c r="AE13" s="273"/>
      <c r="AF13" s="274">
        <v>2016</v>
      </c>
      <c r="AG13" s="272">
        <f>AG34*'Inflation adjustment'!$F$20/'Inflation adjustment'!$F11</f>
        <v>12.770573448156782</v>
      </c>
      <c r="AH13" s="273"/>
      <c r="AI13" s="240"/>
    </row>
    <row r="14" spans="1:35" x14ac:dyDescent="0.25">
      <c r="A14" s="270">
        <v>2017</v>
      </c>
      <c r="B14" s="44">
        <f>B35*'Inflation adjustment'!$F$20/'Inflation adjustment'!$F12</f>
        <v>21.946594912793643</v>
      </c>
      <c r="C14" s="272">
        <f>C35*'Inflation adjustment'!$F$20/'Inflation adjustment'!$F12</f>
        <v>4.4813427784301165</v>
      </c>
      <c r="D14" s="273">
        <f>D35*'Inflation adjustment'!$F$20/'Inflation adjustment'!$F12</f>
        <v>4.3034822598029896</v>
      </c>
      <c r="E14" s="270">
        <v>2017</v>
      </c>
      <c r="F14" s="44">
        <f>F35*'Inflation adjustment'!$F$20/'Inflation adjustment'!$F12</f>
        <v>11.145930361652969</v>
      </c>
      <c r="G14" s="272">
        <f>G35*'Inflation adjustment'!$F$20/'Inflation adjustment'!$F12</f>
        <v>3.4917223891335318</v>
      </c>
      <c r="H14" s="273">
        <f>H35*'Inflation adjustment'!$F$20/'Inflation adjustment'!$F12</f>
        <v>4.0222789212193399</v>
      </c>
      <c r="I14" s="270">
        <v>2017</v>
      </c>
      <c r="J14" s="44">
        <f>J35*'Inflation adjustment'!$F$20/'Inflation adjustment'!$F12</f>
        <v>12.559427026515898</v>
      </c>
      <c r="K14" s="272">
        <f>K35*'Inflation adjustment'!$F$20/'Inflation adjustment'!$F12</f>
        <v>3.8727249909592829</v>
      </c>
      <c r="L14" s="273">
        <f>L35*'Inflation adjustment'!$F$20/'Inflation adjustment'!$F12</f>
        <v>3.9554987463798761</v>
      </c>
      <c r="M14" s="270">
        <v>2017</v>
      </c>
      <c r="N14" s="44">
        <f>N35*'Inflation adjustment'!$F$20/'Inflation adjustment'!$F12</f>
        <v>11.816259691501532</v>
      </c>
      <c r="O14" s="272">
        <f>O35*'Inflation adjustment'!$F$20/'Inflation adjustment'!$F12</f>
        <v>3.2175132781472198</v>
      </c>
      <c r="P14" s="273">
        <f>P35*'Inflation adjustment'!$F$20/'Inflation adjustment'!$F12</f>
        <v>3.6103242700363802</v>
      </c>
      <c r="Q14" s="270">
        <v>2017</v>
      </c>
      <c r="R14" s="44">
        <f>R35*'Inflation adjustment'!$F$20/'Inflation adjustment'!$F12</f>
        <v>13.477701995154796</v>
      </c>
      <c r="S14" s="272">
        <f>S35*'Inflation adjustment'!$F$20/'Inflation adjustment'!$F12</f>
        <v>4.0721984493357102</v>
      </c>
      <c r="T14" s="273">
        <f>T35*'Inflation adjustment'!$F$20/'Inflation adjustment'!$F12</f>
        <v>3.8825386899652612</v>
      </c>
      <c r="U14" s="270">
        <v>2017</v>
      </c>
      <c r="V14" s="44">
        <f>V35*'Inflation adjustment'!$F$20/'Inflation adjustment'!$F12</f>
        <v>19.592200202153073</v>
      </c>
      <c r="W14" s="272">
        <f>W35*'Inflation adjustment'!$F$20/'Inflation adjustment'!$F12</f>
        <v>4.1010860208769282</v>
      </c>
      <c r="X14" s="273">
        <f>X35*'Inflation adjustment'!$F$20/'Inflation adjustment'!$F12</f>
        <v>4.4985792484394205</v>
      </c>
      <c r="Y14" s="270">
        <v>2017</v>
      </c>
      <c r="Z14" s="44">
        <f>Z35*'Inflation adjustment'!$F$20/'Inflation adjustment'!$F12</f>
        <v>21.808428117627418</v>
      </c>
      <c r="AA14" s="272">
        <f>AA35*'Inflation adjustment'!$F$20/'Inflation adjustment'!$F12</f>
        <v>4.771069514305335</v>
      </c>
      <c r="AB14" s="273">
        <f>AB35*'Inflation adjustment'!$F$20/'Inflation adjustment'!$F12</f>
        <v>5.2267565671319494</v>
      </c>
      <c r="AC14" s="274">
        <v>2017</v>
      </c>
      <c r="AD14" s="272">
        <f>AD35*'Inflation adjustment'!$F$20/'Inflation adjustment'!$F12</f>
        <v>12.729706145408063</v>
      </c>
      <c r="AE14" s="273"/>
      <c r="AF14" s="274">
        <v>2017</v>
      </c>
      <c r="AG14" s="272">
        <f>AG35*'Inflation adjustment'!$F$20/'Inflation adjustment'!$F12</f>
        <v>12.824286273263546</v>
      </c>
      <c r="AH14" s="273"/>
      <c r="AI14" s="240"/>
    </row>
    <row r="15" spans="1:35" x14ac:dyDescent="0.25">
      <c r="A15" s="270">
        <v>2018</v>
      </c>
      <c r="B15" s="44">
        <f>B36*'Inflation adjustment'!$F$20/'Inflation adjustment'!$F13</f>
        <v>22.077266713033985</v>
      </c>
      <c r="C15" s="272">
        <f>C36*'Inflation adjustment'!$F$20/'Inflation adjustment'!$F13</f>
        <v>4.9420723084419551</v>
      </c>
      <c r="D15" s="273">
        <f>D36*'Inflation adjustment'!$F$20/'Inflation adjustment'!$F13</f>
        <v>5.1799857512902125</v>
      </c>
      <c r="E15" s="270">
        <v>2018</v>
      </c>
      <c r="F15" s="44">
        <f>F36*'Inflation adjustment'!$F$20/'Inflation adjustment'!$F13</f>
        <v>11.121394608844598</v>
      </c>
      <c r="G15" s="272">
        <f>G36*'Inflation adjustment'!$F$20/'Inflation adjustment'!$F13</f>
        <v>4.2222444985451482</v>
      </c>
      <c r="H15" s="273">
        <f>H36*'Inflation adjustment'!$F$20/'Inflation adjustment'!$F13</f>
        <v>4.202165247589754</v>
      </c>
      <c r="I15" s="270">
        <v>2018</v>
      </c>
      <c r="J15" s="44">
        <f>J36*'Inflation adjustment'!$F$20/'Inflation adjustment'!$F13</f>
        <v>12.230154472344243</v>
      </c>
      <c r="K15" s="272">
        <f>K36*'Inflation adjustment'!$F$20/'Inflation adjustment'!$F13</f>
        <v>4.2357040101968382</v>
      </c>
      <c r="L15" s="273">
        <f>L36*'Inflation adjustment'!$F$20/'Inflation adjustment'!$F13</f>
        <v>4.0042931863789315</v>
      </c>
      <c r="M15" s="270">
        <v>2018</v>
      </c>
      <c r="N15" s="44">
        <f>N36*'Inflation adjustment'!$F$20/'Inflation adjustment'!$F13</f>
        <v>11.659852085796992</v>
      </c>
      <c r="O15" s="272">
        <f>O36*'Inflation adjustment'!$F$20/'Inflation adjustment'!$F13</f>
        <v>3.2756555739014361</v>
      </c>
      <c r="P15" s="273">
        <f>P36*'Inflation adjustment'!$F$20/'Inflation adjustment'!$F13</f>
        <v>3.275043306836336</v>
      </c>
      <c r="Q15" s="270">
        <v>2018</v>
      </c>
      <c r="R15" s="44">
        <f>R36*'Inflation adjustment'!$F$20/'Inflation adjustment'!$F13</f>
        <v>13.210119127221123</v>
      </c>
      <c r="S15" s="272">
        <f>S36*'Inflation adjustment'!$F$20/'Inflation adjustment'!$F13</f>
        <v>4.9077183166864389</v>
      </c>
      <c r="T15" s="273">
        <f>T36*'Inflation adjustment'!$F$20/'Inflation adjustment'!$F13</f>
        <v>5.1121506729996717</v>
      </c>
      <c r="U15" s="270">
        <v>2018</v>
      </c>
      <c r="V15" s="44">
        <f>V36*'Inflation adjustment'!$F$20/'Inflation adjustment'!$F13</f>
        <v>19.257160205580636</v>
      </c>
      <c r="W15" s="272">
        <f>W36*'Inflation adjustment'!$F$20/'Inflation adjustment'!$F13</f>
        <v>5.041645198339304</v>
      </c>
      <c r="X15" s="273">
        <f>X36*'Inflation adjustment'!$F$20/'Inflation adjustment'!$F13</f>
        <v>5.5088427728658598</v>
      </c>
      <c r="Y15" s="270">
        <v>2018</v>
      </c>
      <c r="Z15" s="44">
        <f>Z36*'Inflation adjustment'!$F$20/'Inflation adjustment'!$F13</f>
        <v>22.747365880710756</v>
      </c>
      <c r="AA15" s="272">
        <f>AA36*'Inflation adjustment'!$F$20/'Inflation adjustment'!$F13</f>
        <v>6.0365088042066368</v>
      </c>
      <c r="AB15" s="273">
        <f>AB36*'Inflation adjustment'!$F$20/'Inflation adjustment'!$F13</f>
        <v>6.5526388606387256</v>
      </c>
      <c r="AC15" s="274">
        <v>2018</v>
      </c>
      <c r="AD15" s="272">
        <f>AD36*'Inflation adjustment'!$F$20/'Inflation adjustment'!$F13</f>
        <v>12.488853700660647</v>
      </c>
      <c r="AE15" s="273">
        <f>AE36*'Inflation adjustment'!$F$20/'Inflation adjustment'!$F13</f>
        <v>3.7387774654000245</v>
      </c>
      <c r="AF15" s="274">
        <v>2018</v>
      </c>
      <c r="AG15" s="272">
        <f>AG36*'Inflation adjustment'!$F$20/'Inflation adjustment'!$F13</f>
        <v>12.411925248571517</v>
      </c>
      <c r="AH15" s="273">
        <f>AH36*'Inflation adjustment'!$F$20/'Inflation adjustment'!$F13</f>
        <v>4.3462213584878402</v>
      </c>
      <c r="AI15" s="240"/>
    </row>
    <row r="16" spans="1:35" x14ac:dyDescent="0.25">
      <c r="A16" s="270">
        <v>2019</v>
      </c>
      <c r="B16" s="44">
        <f>B37*'Inflation adjustment'!$F$20/'Inflation adjustment'!$F14</f>
        <v>22.026018979473633</v>
      </c>
      <c r="C16" s="272">
        <f>C37*'Inflation adjustment'!$F$20/'Inflation adjustment'!$F14</f>
        <v>4.68223236676842</v>
      </c>
      <c r="D16" s="273">
        <f>D37*'Inflation adjustment'!$F$20/'Inflation adjustment'!$F14</f>
        <v>4.5976940993543263</v>
      </c>
      <c r="E16" s="270">
        <v>2019</v>
      </c>
      <c r="F16" s="44">
        <f>F37*'Inflation adjustment'!$F$20/'Inflation adjustment'!$F14</f>
        <v>11.170937993785945</v>
      </c>
      <c r="G16" s="272">
        <f>G37*'Inflation adjustment'!$F$20/'Inflation adjustment'!$F14</f>
        <v>5.6093140397335217</v>
      </c>
      <c r="H16" s="273">
        <f>H37*'Inflation adjustment'!$F$20/'Inflation adjustment'!$F14</f>
        <v>3.197382266406914</v>
      </c>
      <c r="I16" s="270">
        <v>2019</v>
      </c>
      <c r="J16" s="44">
        <f>J37*'Inflation adjustment'!$F$20/'Inflation adjustment'!$F14</f>
        <v>12.028132005946794</v>
      </c>
      <c r="K16" s="272">
        <f>K37*'Inflation adjustment'!$F$20/'Inflation adjustment'!$F14</f>
        <v>3.1648970676012613</v>
      </c>
      <c r="L16" s="273">
        <f>L37*'Inflation adjustment'!$F$20/'Inflation adjustment'!$F14</f>
        <v>3.1199214077637483</v>
      </c>
      <c r="M16" s="270">
        <v>2019</v>
      </c>
      <c r="N16" s="44">
        <f>N37*'Inflation adjustment'!$F$20/'Inflation adjustment'!$F14</f>
        <v>10.938719168163464</v>
      </c>
      <c r="O16" s="272">
        <f>O37*'Inflation adjustment'!$F$20/'Inflation adjustment'!$F14</f>
        <v>2.7786594979333383</v>
      </c>
      <c r="P16" s="273">
        <f>P37*'Inflation adjustment'!$F$20/'Inflation adjustment'!$F14</f>
        <v>2.4523900138161303</v>
      </c>
      <c r="Q16" s="270">
        <v>2019</v>
      </c>
      <c r="R16" s="44">
        <f>R37*'Inflation adjustment'!$F$20/'Inflation adjustment'!$F14</f>
        <v>12.826273194772662</v>
      </c>
      <c r="S16" s="272">
        <f>S37*'Inflation adjustment'!$F$20/'Inflation adjustment'!$F14</f>
        <v>3.4411170000896076</v>
      </c>
      <c r="T16" s="273">
        <f>T37*'Inflation adjustment'!$F$20/'Inflation adjustment'!$F14</f>
        <v>3.1418382110414251</v>
      </c>
      <c r="U16" s="270">
        <v>2019</v>
      </c>
      <c r="V16" s="44">
        <f>V37*'Inflation adjustment'!$F$20/'Inflation adjustment'!$F14</f>
        <v>18.139616878760823</v>
      </c>
      <c r="W16" s="272">
        <f>W37*'Inflation adjustment'!$F$20/'Inflation adjustment'!$F14</f>
        <v>3.5187298582143423</v>
      </c>
      <c r="X16" s="273">
        <f>X37*'Inflation adjustment'!$F$20/'Inflation adjustment'!$F14</f>
        <v>3.656524970366267</v>
      </c>
      <c r="Y16" s="270">
        <v>2019</v>
      </c>
      <c r="Z16" s="44">
        <f>Z37*'Inflation adjustment'!$F$20/'Inflation adjustment'!$F14</f>
        <v>22.46872752111922</v>
      </c>
      <c r="AA16" s="272">
        <f>AA37*'Inflation adjustment'!$F$20/'Inflation adjustment'!$F14</f>
        <v>4.0860948396140566</v>
      </c>
      <c r="AB16" s="273">
        <f>AB37*'Inflation adjustment'!$F$20/'Inflation adjustment'!$F14</f>
        <v>4.3022111845763318</v>
      </c>
      <c r="AC16" s="274">
        <v>2019</v>
      </c>
      <c r="AD16" s="272">
        <f>AD37*'Inflation adjustment'!$F$20/'Inflation adjustment'!$F14</f>
        <v>12.231583713950785</v>
      </c>
      <c r="AE16" s="273">
        <f>AE37*'Inflation adjustment'!$F$20/'Inflation adjustment'!$F14</f>
        <v>3.741962900790651</v>
      </c>
      <c r="AF16" s="274">
        <v>2019</v>
      </c>
      <c r="AG16" s="272">
        <f>AG37*'Inflation adjustment'!$F$20/'Inflation adjustment'!$F14</f>
        <v>12.450672402487296</v>
      </c>
      <c r="AH16" s="273">
        <f>AH37*'Inflation adjustment'!$F$20/'Inflation adjustment'!$F14</f>
        <v>3.2858731502290524</v>
      </c>
      <c r="AI16" s="240"/>
    </row>
    <row r="17" spans="1:35" x14ac:dyDescent="0.25">
      <c r="A17" s="270">
        <v>2020</v>
      </c>
      <c r="B17" s="44">
        <f>B38*'Inflation adjustment'!$F$20/'Inflation adjustment'!$F15</f>
        <v>23.389280762024502</v>
      </c>
      <c r="C17" s="272">
        <f>C38*'Inflation adjustment'!$F$20/'Inflation adjustment'!$F15</f>
        <v>3.8924827665826598</v>
      </c>
      <c r="D17" s="273">
        <f>D38*'Inflation adjustment'!$F$20/'Inflation adjustment'!$F15</f>
        <v>3.5624145373556533</v>
      </c>
      <c r="E17" s="270">
        <v>2020</v>
      </c>
      <c r="F17" s="44">
        <f>F38*'Inflation adjustment'!$F$20/'Inflation adjustment'!$F15</f>
        <v>10.6760697961635</v>
      </c>
      <c r="G17" s="272">
        <f>G38*'Inflation adjustment'!$F$20/'Inflation adjustment'!$F15</f>
        <v>2.8573843068022708</v>
      </c>
      <c r="H17" s="273">
        <f>H38*'Inflation adjustment'!$F$20/'Inflation adjustment'!$F15</f>
        <v>2.5714534143633041</v>
      </c>
      <c r="I17" s="270">
        <v>2020</v>
      </c>
      <c r="J17" s="44">
        <f>J38*'Inflation adjustment'!$F$20/'Inflation adjustment'!$F15</f>
        <v>11.872227303461093</v>
      </c>
      <c r="K17" s="272">
        <f>K38*'Inflation adjustment'!$F$20/'Inflation adjustment'!$F15</f>
        <v>2.5933558619215353</v>
      </c>
      <c r="L17" s="273">
        <f>L38*'Inflation adjustment'!$F$20/'Inflation adjustment'!$F15</f>
        <v>2.4195268604364255</v>
      </c>
      <c r="M17" s="270">
        <v>2020</v>
      </c>
      <c r="N17" s="44">
        <f>N38*'Inflation adjustment'!$F$20/'Inflation adjustment'!$F15</f>
        <v>10.492332391664034</v>
      </c>
      <c r="O17" s="272">
        <f>O38*'Inflation adjustment'!$F$20/'Inflation adjustment'!$F15</f>
        <v>2.2025381906424726</v>
      </c>
      <c r="P17" s="273">
        <f>P38*'Inflation adjustment'!$F$20/'Inflation adjustment'!$F15</f>
        <v>2.2400570398045598</v>
      </c>
      <c r="Q17" s="270">
        <v>2020</v>
      </c>
      <c r="R17" s="44">
        <f>R38*'Inflation adjustment'!$F$20/'Inflation adjustment'!$F15</f>
        <v>12.582333278660171</v>
      </c>
      <c r="S17" s="272">
        <f>S38*'Inflation adjustment'!$F$20/'Inflation adjustment'!$F15</f>
        <v>2.7060490400389288</v>
      </c>
      <c r="T17" s="273">
        <f>T38*'Inflation adjustment'!$F$20/'Inflation adjustment'!$F15</f>
        <v>2.1294980163810959</v>
      </c>
      <c r="U17" s="270">
        <v>2020</v>
      </c>
      <c r="V17" s="44">
        <f>V38*'Inflation adjustment'!$F$20/'Inflation adjustment'!$F15</f>
        <v>18.735130520641555</v>
      </c>
      <c r="W17" s="272">
        <f>W38*'Inflation adjustment'!$F$20/'Inflation adjustment'!$F15</f>
        <v>2.6480284397550378</v>
      </c>
      <c r="X17" s="273">
        <f>X38*'Inflation adjustment'!$F$20/'Inflation adjustment'!$F15</f>
        <v>2.4645083482272487</v>
      </c>
      <c r="Y17" s="270">
        <v>2020</v>
      </c>
      <c r="Z17" s="44">
        <f>Z38*'Inflation adjustment'!$F$20/'Inflation adjustment'!$F15</f>
        <v>22.229070653567852</v>
      </c>
      <c r="AA17" s="272">
        <f>AA38*'Inflation adjustment'!$F$20/'Inflation adjustment'!$F15</f>
        <v>3.0958928365122063</v>
      </c>
      <c r="AB17" s="273">
        <f>AB38*'Inflation adjustment'!$F$20/'Inflation adjustment'!$F15</f>
        <v>2.7755542836918581</v>
      </c>
      <c r="AC17" s="274">
        <v>2020</v>
      </c>
      <c r="AD17" s="272">
        <f>AD38*'Inflation adjustment'!$F$20/'Inflation adjustment'!$F15</f>
        <v>12.244942254447135</v>
      </c>
      <c r="AE17" s="273">
        <f>AE38*'Inflation adjustment'!$F$20/'Inflation adjustment'!$F15</f>
        <v>2.6305047747002361</v>
      </c>
      <c r="AF17" s="274">
        <v>2020</v>
      </c>
      <c r="AG17" s="272">
        <f>AG38*'Inflation adjustment'!$F$20/'Inflation adjustment'!$F15</f>
        <v>12.113549153605252</v>
      </c>
      <c r="AH17" s="273">
        <f>AH38*'Inflation adjustment'!$F$20/'Inflation adjustment'!$F15</f>
        <v>2.5835584169279167</v>
      </c>
      <c r="AI17" s="240"/>
    </row>
    <row r="18" spans="1:35" x14ac:dyDescent="0.25">
      <c r="A18" s="270">
        <v>2021</v>
      </c>
      <c r="B18" s="44">
        <f>B39*'Inflation adjustment'!$F$20/'Inflation adjustment'!$F16</f>
        <v>24.59928168522859</v>
      </c>
      <c r="C18" s="272">
        <f>C39*'Inflation adjustment'!$F$20/'Inflation adjustment'!$F16</f>
        <v>5.5569981026729547</v>
      </c>
      <c r="D18" s="273">
        <f>D39*'Inflation adjustment'!$F$20/'Inflation adjustment'!$F16</f>
        <v>7.1021963902558767</v>
      </c>
      <c r="E18" s="270">
        <v>2021</v>
      </c>
      <c r="F18" s="44">
        <f>F39*'Inflation adjustment'!$F$20/'Inflation adjustment'!$F16</f>
        <v>10.912425757923552</v>
      </c>
      <c r="G18" s="272">
        <f>G39*'Inflation adjustment'!$F$20/'Inflation adjustment'!$F16</f>
        <v>19.569344593752195</v>
      </c>
      <c r="H18" s="273">
        <f>H39*'Inflation adjustment'!$F$20/'Inflation adjustment'!$F16</f>
        <v>7.6777974191222587</v>
      </c>
      <c r="I18" s="270">
        <v>2021</v>
      </c>
      <c r="J18" s="44">
        <f>J39*'Inflation adjustment'!$F$20/'Inflation adjustment'!$F16</f>
        <v>12.070916175168479</v>
      </c>
      <c r="K18" s="272">
        <f>K39*'Inflation adjustment'!$F$20/'Inflation adjustment'!$F16</f>
        <v>4.6388551869397343</v>
      </c>
      <c r="L18" s="273">
        <f>L39*'Inflation adjustment'!$F$20/'Inflation adjustment'!$F16</f>
        <v>5.6668698856414048</v>
      </c>
      <c r="M18" s="270">
        <v>2021</v>
      </c>
      <c r="N18" s="44">
        <f>N39*'Inflation adjustment'!$F$20/'Inflation adjustment'!$F16</f>
        <v>10.7931159252587</v>
      </c>
      <c r="O18" s="272">
        <f>O39*'Inflation adjustment'!$F$20/'Inflation adjustment'!$F16</f>
        <v>5.1251367312011817</v>
      </c>
      <c r="P18" s="273">
        <f>P39*'Inflation adjustment'!$F$20/'Inflation adjustment'!$F16</f>
        <v>8.9879343421450475</v>
      </c>
      <c r="Q18" s="270">
        <v>2021</v>
      </c>
      <c r="R18" s="44">
        <f>R39*'Inflation adjustment'!$F$20/'Inflation adjustment'!$F16</f>
        <v>12.359590254497725</v>
      </c>
      <c r="S18" s="272">
        <f>S39*'Inflation adjustment'!$F$20/'Inflation adjustment'!$F16</f>
        <v>4.7271293990497423</v>
      </c>
      <c r="T18" s="273">
        <f>T39*'Inflation adjustment'!$F$20/'Inflation adjustment'!$F16</f>
        <v>4.2322887587793003</v>
      </c>
      <c r="U18" s="270">
        <v>2021</v>
      </c>
      <c r="V18" s="44">
        <f>V39*'Inflation adjustment'!$F$20/'Inflation adjustment'!$F16</f>
        <v>19.417923228762486</v>
      </c>
      <c r="W18" s="272">
        <f>W39*'Inflation adjustment'!$F$20/'Inflation adjustment'!$F16</f>
        <v>4.7309881616621521</v>
      </c>
      <c r="X18" s="273">
        <f>X39*'Inflation adjustment'!$F$20/'Inflation adjustment'!$F16</f>
        <v>5.0073460980192417</v>
      </c>
      <c r="Y18" s="270">
        <v>2021</v>
      </c>
      <c r="Z18" s="44">
        <f>Z39*'Inflation adjustment'!$F$20/'Inflation adjustment'!$F16</f>
        <v>21.592326018495882</v>
      </c>
      <c r="AA18" s="272">
        <f>AA39*'Inflation adjustment'!$F$20/'Inflation adjustment'!$F16</f>
        <v>5.6435984392388452</v>
      </c>
      <c r="AB18" s="273">
        <f>AB39*'Inflation adjustment'!$F$20/'Inflation adjustment'!$F16</f>
        <v>5.7828777685561379</v>
      </c>
      <c r="AC18" s="274">
        <v>2021</v>
      </c>
      <c r="AD18" s="272">
        <f>AD39*'Inflation adjustment'!$F$20/'Inflation adjustment'!$F16</f>
        <v>12.079510194978361</v>
      </c>
      <c r="AE18" s="273">
        <f>AE39*'Inflation adjustment'!$F$20/'Inflation adjustment'!$F16</f>
        <v>6.0330367064945092</v>
      </c>
      <c r="AF18" s="274">
        <v>2021</v>
      </c>
      <c r="AG18" s="272">
        <f>AG39*'Inflation adjustment'!$F$20/'Inflation adjustment'!$F16</f>
        <v>11.951341435911523</v>
      </c>
      <c r="AH18" s="273">
        <f>AH39*'Inflation adjustment'!$F$20/'Inflation adjustment'!$F16</f>
        <v>4.7716373242348196</v>
      </c>
      <c r="AI18" s="240"/>
    </row>
    <row r="19" spans="1:35" x14ac:dyDescent="0.25">
      <c r="A19" s="270">
        <v>2022</v>
      </c>
      <c r="B19" s="44">
        <f>B40*'Inflation adjustment'!$F$20/'Inflation adjustment'!$F17</f>
        <v>26.300533206498937</v>
      </c>
      <c r="C19" s="272">
        <f>C40*'Inflation adjustment'!$F$20/'Inflation adjustment'!$F17</f>
        <v>9.2735491365375733</v>
      </c>
      <c r="D19" s="273">
        <f>D40*'Inflation adjustment'!$F$20/'Inflation adjustment'!$F17</f>
        <v>10.703167887594038</v>
      </c>
      <c r="E19" s="270">
        <v>2022</v>
      </c>
      <c r="F19" s="44">
        <f>F40*'Inflation adjustment'!$F$20/'Inflation adjustment'!$F17</f>
        <v>11.20107647591202</v>
      </c>
      <c r="G19" s="272">
        <f>G40*'Inflation adjustment'!$F$20/'Inflation adjustment'!$F17</f>
        <v>7.9050681419318094</v>
      </c>
      <c r="H19" s="273">
        <f>H40*'Inflation adjustment'!$F$20/'Inflation adjustment'!$F17</f>
        <v>6.6792147431533175</v>
      </c>
      <c r="I19" s="270">
        <v>2022</v>
      </c>
      <c r="J19" s="44">
        <f>J40*'Inflation adjustment'!$F$20/'Inflation adjustment'!$F17</f>
        <v>12.335339082821612</v>
      </c>
      <c r="K19" s="272">
        <f>K40*'Inflation adjustment'!$F$20/'Inflation adjustment'!$F17</f>
        <v>6.8828140658871462</v>
      </c>
      <c r="L19" s="273">
        <f>L40*'Inflation adjustment'!$F$20/'Inflation adjustment'!$F17</f>
        <v>6.9256105057625605</v>
      </c>
      <c r="M19" s="270">
        <v>2022</v>
      </c>
      <c r="N19" s="44">
        <f>N40*'Inflation adjustment'!$F$20/'Inflation adjustment'!$F17</f>
        <v>10.932895889642218</v>
      </c>
      <c r="O19" s="272">
        <f>O40*'Inflation adjustment'!$F$20/'Inflation adjustment'!$F17</f>
        <v>5.3929596557737032</v>
      </c>
      <c r="P19" s="273">
        <f>P40*'Inflation adjustment'!$F$20/'Inflation adjustment'!$F17</f>
        <v>6.6460533022739616</v>
      </c>
      <c r="Q19" s="270">
        <v>2022</v>
      </c>
      <c r="R19" s="44">
        <f>R40*'Inflation adjustment'!$F$20/'Inflation adjustment'!$F17</f>
        <v>12.996105592045817</v>
      </c>
      <c r="S19" s="272">
        <f>S40*'Inflation adjustment'!$F$20/'Inflation adjustment'!$F17</f>
        <v>8.8181260729947031</v>
      </c>
      <c r="T19" s="273">
        <f>T40*'Inflation adjustment'!$F$20/'Inflation adjustment'!$F17</f>
        <v>7.8610446979641004</v>
      </c>
      <c r="U19" s="270">
        <v>2022</v>
      </c>
      <c r="V19" s="44">
        <f>V40*'Inflation adjustment'!$F$20/'Inflation adjustment'!$F17</f>
        <v>20.473840217438699</v>
      </c>
      <c r="W19" s="272">
        <f>W40*'Inflation adjustment'!$F$20/'Inflation adjustment'!$F17</f>
        <v>8.9992912721511171</v>
      </c>
      <c r="X19" s="273">
        <f>X40*'Inflation adjustment'!$F$20/'Inflation adjustment'!$F17</f>
        <v>9.384155934428561</v>
      </c>
      <c r="Y19" s="270">
        <v>2022</v>
      </c>
      <c r="Z19" s="44">
        <f>Z40*'Inflation adjustment'!$F$20/'Inflation adjustment'!$F17</f>
        <v>22.735295226910335</v>
      </c>
      <c r="AA19" s="272">
        <f>AA40*'Inflation adjustment'!$F$20/'Inflation adjustment'!$F17</f>
        <v>10.052628129004098</v>
      </c>
      <c r="AB19" s="273">
        <f>AB40*'Inflation adjustment'!$F$20/'Inflation adjustment'!$F17</f>
        <v>10.569646161487356</v>
      </c>
      <c r="AC19" s="274">
        <v>2022</v>
      </c>
      <c r="AD19" s="272">
        <f>AD40*'Inflation adjustment'!$F$20/'Inflation adjustment'!$F17</f>
        <v>11.924108219984817</v>
      </c>
      <c r="AE19" s="273">
        <f>AE40*'Inflation adjustment'!$F$20/'Inflation adjustment'!$F17</f>
        <v>9.1777103227654706</v>
      </c>
      <c r="AF19" s="274">
        <v>2022</v>
      </c>
      <c r="AG19" s="272">
        <f>AG40*'Inflation adjustment'!$F$20/'Inflation adjustment'!$F17</f>
        <v>12.430077575427294</v>
      </c>
      <c r="AH19" s="273">
        <f>AH40*'Inflation adjustment'!$F$20/'Inflation adjustment'!$F17</f>
        <v>8.2611718949895376</v>
      </c>
      <c r="AI19" s="240"/>
    </row>
    <row r="20" spans="1:35" x14ac:dyDescent="0.25">
      <c r="A20" s="270">
        <v>2023</v>
      </c>
      <c r="B20" s="44">
        <f>B41*'Inflation adjustment'!$F$20/'Inflation adjustment'!$F18</f>
        <v>28.544464436546868</v>
      </c>
      <c r="C20" s="272">
        <f>C41*'Inflation adjustment'!$F$20/'Inflation adjustment'!$F18</f>
        <v>5.8077779021568992</v>
      </c>
      <c r="D20" s="273">
        <f>D41*'Inflation adjustment'!$F$20/'Inflation adjustment'!$F18</f>
        <v>6.2011832451605819</v>
      </c>
      <c r="E20" s="270">
        <v>2023</v>
      </c>
      <c r="F20" s="44">
        <f>F41*'Inflation adjustment'!$F$20/'Inflation adjustment'!$F18</f>
        <v>10.857130149412347</v>
      </c>
      <c r="G20" s="272">
        <f>G41*'Inflation adjustment'!$F$20/'Inflation adjustment'!$F18</f>
        <v>6.5941067218614702</v>
      </c>
      <c r="H20" s="273">
        <f>H41*'Inflation adjustment'!$F$20/'Inflation adjustment'!$F18</f>
        <v>2.4534285776814753</v>
      </c>
      <c r="I20" s="270">
        <v>2023</v>
      </c>
      <c r="J20" s="44">
        <f>J41*'Inflation adjustment'!$F$20/'Inflation adjustment'!$F18</f>
        <v>11.879659620116131</v>
      </c>
      <c r="K20" s="272">
        <f>K41*'Inflation adjustment'!$F$20/'Inflation adjustment'!$F18</f>
        <v>3.2408351454628277</v>
      </c>
      <c r="L20" s="273">
        <f>L41*'Inflation adjustment'!$F$20/'Inflation adjustment'!$F18</f>
        <v>2.5069696517903801</v>
      </c>
      <c r="M20" s="270">
        <v>2023</v>
      </c>
      <c r="N20" s="44">
        <f>N41*'Inflation adjustment'!$F$20/'Inflation adjustment'!$F18</f>
        <v>10.157028724165079</v>
      </c>
      <c r="O20" s="272">
        <f>O41*'Inflation adjustment'!$F$20/'Inflation adjustment'!$F18</f>
        <v>2.6849093401769553</v>
      </c>
      <c r="P20" s="273">
        <f>P41*'Inflation adjustment'!$F$20/'Inflation adjustment'!$F18</f>
        <v>2.3817190918181179</v>
      </c>
      <c r="Q20" s="270">
        <v>2023</v>
      </c>
      <c r="R20" s="44">
        <f>R41*'Inflation adjustment'!$F$20/'Inflation adjustment'!$F18</f>
        <v>12.775430735333632</v>
      </c>
      <c r="S20" s="272">
        <f>S41*'Inflation adjustment'!$F$20/'Inflation adjustment'!$F18</f>
        <v>3.2837115177141278</v>
      </c>
      <c r="T20" s="273">
        <f>T41*'Inflation adjustment'!$F$20/'Inflation adjustment'!$F18</f>
        <v>2.2306470909278158</v>
      </c>
      <c r="U20" s="270">
        <v>2023</v>
      </c>
      <c r="V20" s="44">
        <f>V41*'Inflation adjustment'!$F$20/'Inflation adjustment'!$F18</f>
        <v>19.335395972820894</v>
      </c>
      <c r="W20" s="272">
        <f>W41*'Inflation adjustment'!$F$20/'Inflation adjustment'!$F18</f>
        <v>3.3371538963772149</v>
      </c>
      <c r="X20" s="273">
        <f>X41*'Inflation adjustment'!$F$20/'Inflation adjustment'!$F18</f>
        <v>2.9248732521789753</v>
      </c>
      <c r="Y20" s="270">
        <v>2023</v>
      </c>
      <c r="Z20" s="44">
        <f>Z41*'Inflation adjustment'!$F$20/'Inflation adjustment'!$F18</f>
        <v>24.25859362273625</v>
      </c>
      <c r="AA20" s="272">
        <f>AA41*'Inflation adjustment'!$F$20/'Inflation adjustment'!$F18</f>
        <v>4.0562950933764457</v>
      </c>
      <c r="AB20" s="273">
        <f>AB41*'Inflation adjustment'!$F$20/'Inflation adjustment'!$F18</f>
        <v>3.3842659122456591</v>
      </c>
      <c r="AC20" s="274">
        <v>2023</v>
      </c>
      <c r="AD20" s="272">
        <f>AD41*'Inflation adjustment'!$F$20/'Inflation adjustment'!$F18</f>
        <v>12.14705781688073</v>
      </c>
      <c r="AE20" s="273">
        <f>AE41*'Inflation adjustment'!$F$20/'Inflation adjustment'!$F18</f>
        <v>4.4957554106187674</v>
      </c>
      <c r="AF20" s="274">
        <v>2023</v>
      </c>
      <c r="AG20" s="272">
        <f>AG41*'Inflation adjustment'!$F$20/'Inflation adjustment'!$F18</f>
        <v>12.204463068541283</v>
      </c>
      <c r="AH20" s="273">
        <f>AH41*'Inflation adjustment'!$F$20/'Inflation adjustment'!$F18</f>
        <v>2.9139963091551651</v>
      </c>
      <c r="AI20" s="240"/>
    </row>
    <row r="21" spans="1:35" s="81" customFormat="1" x14ac:dyDescent="0.25">
      <c r="A21" s="270">
        <v>2024</v>
      </c>
      <c r="B21" s="44">
        <f>B42*'Inflation adjustment'!$F$20/'Inflation adjustment'!$F19</f>
        <v>30.473403886814449</v>
      </c>
      <c r="C21" s="272">
        <f>C42*'Inflation adjustment'!$F$20/'Inflation adjustment'!$F19</f>
        <v>3.5483415434512668</v>
      </c>
      <c r="D21" s="273">
        <f>D42*'Inflation adjustment'!$F$20/'Inflation adjustment'!$F19</f>
        <v>2.7943352394958483</v>
      </c>
      <c r="E21" s="270">
        <v>2024</v>
      </c>
      <c r="F21" s="44">
        <f>F42*'Inflation adjustment'!$F$20/'Inflation adjustment'!$F19</f>
        <v>10.31894704056192</v>
      </c>
      <c r="G21" s="272">
        <f>G42*'Inflation adjustment'!$F$20/'Inflation adjustment'!$F19</f>
        <v>2.9692375141914273</v>
      </c>
      <c r="H21" s="273">
        <f>H42*'Inflation adjustment'!$F$20/'Inflation adjustment'!$F19</f>
        <v>2.051949182351898</v>
      </c>
      <c r="I21" s="270">
        <v>2024</v>
      </c>
      <c r="J21" s="44">
        <f>J42*'Inflation adjustment'!$F$20/'Inflation adjustment'!$F19</f>
        <v>11.574773334801831</v>
      </c>
      <c r="K21" s="272">
        <f>K42*'Inflation adjustment'!$F$20/'Inflation adjustment'!$F19</f>
        <v>3.0301542378174511</v>
      </c>
      <c r="L21" s="273">
        <f>L42*'Inflation adjustment'!$F$20/'Inflation adjustment'!$F19</f>
        <v>2.2338090982537753</v>
      </c>
      <c r="M21" s="270">
        <v>2024</v>
      </c>
      <c r="N21" s="44">
        <f>N42*'Inflation adjustment'!$F$20/'Inflation adjustment'!$F19</f>
        <v>9.6646076471374602</v>
      </c>
      <c r="O21" s="272">
        <f>O42*'Inflation adjustment'!$F$20/'Inflation adjustment'!$F19</f>
        <v>2.644375394710476</v>
      </c>
      <c r="P21" s="273">
        <f>P42*'Inflation adjustment'!$F$20/'Inflation adjustment'!$F19</f>
        <v>2.1000337823950987</v>
      </c>
      <c r="Q21" s="270">
        <v>2024</v>
      </c>
      <c r="R21" s="44">
        <f>R42*'Inflation adjustment'!$F$20/'Inflation adjustment'!$F19</f>
        <v>12.741180464776852</v>
      </c>
      <c r="S21" s="272">
        <f>S42*'Inflation adjustment'!$F$20/'Inflation adjustment'!$F19</f>
        <v>3.4631564575871199</v>
      </c>
      <c r="T21" s="273">
        <f>T42*'Inflation adjustment'!$F$20/'Inflation adjustment'!$F19</f>
        <v>2.2604710193431012</v>
      </c>
      <c r="U21" s="270">
        <v>2024</v>
      </c>
      <c r="V21" s="44">
        <f>V42*'Inflation adjustment'!$F$20/'Inflation adjustment'!$F19</f>
        <v>20.181070899095957</v>
      </c>
      <c r="W21" s="272">
        <f>W42*'Inflation adjustment'!$F$20/'Inflation adjustment'!$F19</f>
        <v>3.9019902812935747</v>
      </c>
      <c r="X21" s="273">
        <f>X42*'Inflation adjustment'!$F$20/'Inflation adjustment'!$F19</f>
        <v>2.8858909958129559</v>
      </c>
      <c r="Y21" s="270">
        <v>2024</v>
      </c>
      <c r="Z21" s="44">
        <f>Z42*'Inflation adjustment'!$F$20/'Inflation adjustment'!$F19</f>
        <v>23.736226022129181</v>
      </c>
      <c r="AA21" s="272">
        <f>AA42*'Inflation adjustment'!$F$20/'Inflation adjustment'!$F19</f>
        <v>4.3798365040347402</v>
      </c>
      <c r="AB21" s="273">
        <f>AB42*'Inflation adjustment'!$F$20/'Inflation adjustment'!$F19</f>
        <v>3.3206316654529142</v>
      </c>
      <c r="AC21" s="274">
        <v>2024</v>
      </c>
      <c r="AD21" s="272">
        <f>AD42*'Inflation adjustment'!$F$20/'Inflation adjustment'!$F19</f>
        <v>12.224866799058736</v>
      </c>
      <c r="AE21" s="273">
        <f>AE42*'Inflation adjustment'!$F$20/'Inflation adjustment'!$F19</f>
        <v>2.2437054445096405</v>
      </c>
      <c r="AF21" s="274">
        <v>2024</v>
      </c>
      <c r="AG21" s="272">
        <f>AG42*'Inflation adjustment'!$F$20/'Inflation adjustment'!$F19</f>
        <v>11.885169271849461</v>
      </c>
      <c r="AH21" s="273">
        <f>AH42*'Inflation adjustment'!$F$20/'Inflation adjustment'!$F19</f>
        <v>2.7438202132398075</v>
      </c>
      <c r="AI21" s="268"/>
    </row>
    <row r="22" spans="1:35" s="81" customFormat="1" x14ac:dyDescent="0.25">
      <c r="A22" s="270">
        <v>2025</v>
      </c>
      <c r="B22" s="44">
        <f>B43*'Inflation adjustment'!$F$20/'Inflation adjustment'!$F20</f>
        <v>30.3156589684503</v>
      </c>
      <c r="C22" s="272">
        <f>C43*'Inflation adjustment'!$F$20/'Inflation adjustment'!$F20</f>
        <v>3.4365299730239203</v>
      </c>
      <c r="D22" s="273">
        <f>D43*'Inflation adjustment'!$F$20/'Inflation adjustment'!$F20</f>
        <v>3.4424790489130368</v>
      </c>
      <c r="E22" s="270">
        <v>2025</v>
      </c>
      <c r="F22" s="44">
        <f>F43*'Inflation adjustment'!$F$20/'Inflation adjustment'!$F20</f>
        <v>10.4364558477081</v>
      </c>
      <c r="G22" s="272">
        <f>G43*'Inflation adjustment'!$F$20/'Inflation adjustment'!$F20</f>
        <v>3.3264431650378401</v>
      </c>
      <c r="H22" s="273">
        <f>H43*'Inflation adjustment'!$F$20/'Inflation adjustment'!$F20</f>
        <v>3.2058122282608679</v>
      </c>
      <c r="I22" s="270">
        <v>2025</v>
      </c>
      <c r="J22" s="44">
        <f>J43*'Inflation adjustment'!$F$20/'Inflation adjustment'!$F20</f>
        <v>11.905295849724601</v>
      </c>
      <c r="K22" s="272">
        <f>K43*'Inflation adjustment'!$F$20/'Inflation adjustment'!$F20</f>
        <v>4.3363629229805705</v>
      </c>
      <c r="L22" s="273">
        <f>L43*'Inflation adjustment'!$F$20/'Inflation adjustment'!$F20</f>
        <v>3.3654329347826035</v>
      </c>
      <c r="M22" s="270">
        <v>2025</v>
      </c>
      <c r="N22" s="44">
        <f>N43*'Inflation adjustment'!$F$20/'Inflation adjustment'!$F20</f>
        <v>9.7909572938667804</v>
      </c>
      <c r="O22" s="272">
        <f>O43*'Inflation adjustment'!$F$20/'Inflation adjustment'!$F20</f>
        <v>2.9025223076321702</v>
      </c>
      <c r="P22" s="273">
        <f>P43*'Inflation adjustment'!$F$20/'Inflation adjustment'!$F20</f>
        <v>3.0961452717391218</v>
      </c>
      <c r="Q22" s="270">
        <v>2025</v>
      </c>
      <c r="R22" s="44">
        <f>R43*'Inflation adjustment'!$F$20/'Inflation adjustment'!$F20</f>
        <v>13.618132636592602</v>
      </c>
      <c r="S22" s="272">
        <f>S43*'Inflation adjustment'!$F$20/'Inflation adjustment'!$F20</f>
        <v>5.07458414568476</v>
      </c>
      <c r="T22" s="273">
        <f>T43*'Inflation adjustment'!$F$20/'Inflation adjustment'!$F20</f>
        <v>3.8609933152173865</v>
      </c>
      <c r="U22" s="270">
        <v>2025</v>
      </c>
      <c r="V22" s="44">
        <f>V43*'Inflation adjustment'!$F$20/'Inflation adjustment'!$F20</f>
        <v>21.456633954677599</v>
      </c>
      <c r="W22" s="272">
        <f>W43*'Inflation adjustment'!$F$20/'Inflation adjustment'!$F20</f>
        <v>6.6012084043861403</v>
      </c>
      <c r="X22" s="273">
        <f>X43*'Inflation adjustment'!$F$20/'Inflation adjustment'!$F20</f>
        <v>6.0367033695652168</v>
      </c>
      <c r="Y22" s="270">
        <v>2025</v>
      </c>
      <c r="Z22" s="44">
        <f>Z43*'Inflation adjustment'!$F$20/'Inflation adjustment'!$F20</f>
        <v>24.618723385386598</v>
      </c>
      <c r="AA22" s="272">
        <f>AA43*'Inflation adjustment'!$F$20/'Inflation adjustment'!$F20</f>
        <v>7.2590220008604405</v>
      </c>
      <c r="AB22" s="273">
        <f>AB43*'Inflation adjustment'!$F$20/'Inflation adjustment'!$F20</f>
        <v>6.7306402173913025</v>
      </c>
      <c r="AC22" s="274">
        <v>2025</v>
      </c>
      <c r="AD22" s="272">
        <f>AD43*'Inflation adjustment'!$F$20/'Inflation adjustment'!$F20</f>
        <v>12.266040971470501</v>
      </c>
      <c r="AE22" s="273">
        <f>AE43*'Inflation adjustment'!$F$20/'Inflation adjustment'!$F20</f>
        <v>2.6834344972826032</v>
      </c>
      <c r="AF22" s="274">
        <v>2025</v>
      </c>
      <c r="AG22" s="272">
        <f>AG43*'Inflation adjustment'!$F$20/'Inflation adjustment'!$F20</f>
        <v>12.1136612520098</v>
      </c>
      <c r="AH22" s="273">
        <f>AH43*'Inflation adjustment'!$F$20/'Inflation adjustment'!$F20</f>
        <v>4.1507307065217356</v>
      </c>
      <c r="AI22" s="268"/>
    </row>
    <row r="23" spans="1:35" s="81" customFormat="1" x14ac:dyDescent="0.25">
      <c r="A23" s="30"/>
      <c r="B23" s="44"/>
      <c r="C23" s="272"/>
      <c r="D23" s="44"/>
      <c r="E23" s="30"/>
      <c r="F23" s="44"/>
      <c r="G23" s="272"/>
      <c r="H23" s="44"/>
      <c r="I23" s="30"/>
      <c r="J23" s="44"/>
      <c r="K23" s="272"/>
      <c r="L23" s="44"/>
      <c r="M23" s="30"/>
      <c r="N23" s="44"/>
      <c r="O23" s="272"/>
      <c r="P23" s="44"/>
      <c r="Q23" s="30"/>
      <c r="R23" s="44"/>
      <c r="S23" s="272"/>
      <c r="T23" s="44"/>
      <c r="U23" s="30"/>
      <c r="V23" s="44"/>
      <c r="W23" s="272"/>
      <c r="X23" s="44"/>
      <c r="Y23" s="30"/>
      <c r="Z23" s="44"/>
      <c r="AA23" s="272"/>
      <c r="AB23" s="44"/>
      <c r="AC23" s="274"/>
      <c r="AD23" s="272"/>
      <c r="AE23" s="44"/>
      <c r="AF23" s="274"/>
      <c r="AG23" s="272"/>
      <c r="AH23" s="44"/>
      <c r="AI23" s="271"/>
    </row>
    <row r="24" spans="1:35" s="81" customFormat="1" x14ac:dyDescent="0.25">
      <c r="A24" s="30"/>
      <c r="B24" s="44"/>
      <c r="C24" s="272"/>
      <c r="D24" s="44"/>
      <c r="E24" s="30"/>
      <c r="F24" s="44"/>
      <c r="G24" s="272"/>
      <c r="H24" s="44"/>
      <c r="I24" s="30"/>
      <c r="J24" s="44"/>
      <c r="K24" s="272"/>
      <c r="L24" s="44"/>
      <c r="M24" s="30"/>
      <c r="N24" s="44"/>
      <c r="O24" s="272"/>
      <c r="P24" s="44"/>
      <c r="Q24" s="30"/>
      <c r="R24" s="44"/>
      <c r="S24" s="272"/>
      <c r="T24" s="44"/>
      <c r="U24" s="30"/>
      <c r="V24" s="44"/>
      <c r="W24" s="272"/>
      <c r="X24" s="44"/>
      <c r="Y24" s="30"/>
      <c r="Z24" s="44"/>
      <c r="AA24" s="272"/>
      <c r="AB24" s="44"/>
      <c r="AC24" s="274"/>
      <c r="AD24" s="272"/>
      <c r="AE24" s="44"/>
      <c r="AF24" s="274"/>
      <c r="AG24" s="272"/>
      <c r="AH24" s="44"/>
      <c r="AI24" s="271"/>
    </row>
    <row r="25" spans="1:35" x14ac:dyDescent="0.25">
      <c r="A25" s="28" t="s">
        <v>775</v>
      </c>
      <c r="B25" s="44"/>
      <c r="C25" s="49"/>
      <c r="D25" s="84"/>
      <c r="E25" s="25"/>
      <c r="F25" s="179"/>
    </row>
    <row r="26" spans="1:35" x14ac:dyDescent="0.25">
      <c r="A26" s="291" t="s">
        <v>474</v>
      </c>
      <c r="B26" s="291"/>
      <c r="C26" s="291"/>
      <c r="D26" s="291"/>
      <c r="E26" s="291" t="s">
        <v>475</v>
      </c>
      <c r="F26" s="291"/>
      <c r="G26" s="291"/>
      <c r="H26" s="291"/>
      <c r="I26" s="290" t="s">
        <v>476</v>
      </c>
      <c r="J26" s="291"/>
      <c r="K26" s="291"/>
      <c r="L26" s="292"/>
      <c r="M26" s="290" t="s">
        <v>477</v>
      </c>
      <c r="N26" s="291"/>
      <c r="O26" s="291"/>
      <c r="P26" s="292"/>
      <c r="Q26" s="290" t="s">
        <v>478</v>
      </c>
      <c r="R26" s="291"/>
      <c r="S26" s="291"/>
      <c r="T26" s="292"/>
      <c r="U26" s="290" t="s">
        <v>479</v>
      </c>
      <c r="V26" s="291"/>
      <c r="W26" s="291"/>
      <c r="X26" s="292"/>
      <c r="Y26" s="290" t="s">
        <v>480</v>
      </c>
      <c r="Z26" s="291"/>
      <c r="AA26" s="291"/>
      <c r="AB26" s="292"/>
      <c r="AC26" s="290" t="s">
        <v>769</v>
      </c>
      <c r="AD26" s="291"/>
      <c r="AE26" s="292"/>
      <c r="AF26" s="290" t="s">
        <v>770</v>
      </c>
      <c r="AG26" s="291"/>
      <c r="AH26" s="292"/>
      <c r="AI26" s="240"/>
    </row>
    <row r="27" spans="1:35" s="54" customFormat="1" ht="30.75" customHeight="1" x14ac:dyDescent="0.25">
      <c r="A27" s="266" t="s">
        <v>158</v>
      </c>
      <c r="B27" s="43" t="s">
        <v>771</v>
      </c>
      <c r="C27" s="43" t="s">
        <v>772</v>
      </c>
      <c r="D27" s="269" t="s">
        <v>773</v>
      </c>
      <c r="E27" s="266" t="s">
        <v>158</v>
      </c>
      <c r="F27" s="43" t="s">
        <v>771</v>
      </c>
      <c r="G27" s="43" t="s">
        <v>772</v>
      </c>
      <c r="H27" s="43" t="s">
        <v>773</v>
      </c>
      <c r="I27" s="266" t="s">
        <v>158</v>
      </c>
      <c r="J27" s="43" t="s">
        <v>771</v>
      </c>
      <c r="K27" s="43" t="s">
        <v>774</v>
      </c>
      <c r="L27" s="269" t="s">
        <v>773</v>
      </c>
      <c r="M27" s="266" t="s">
        <v>158</v>
      </c>
      <c r="N27" s="43" t="s">
        <v>771</v>
      </c>
      <c r="O27" s="43" t="s">
        <v>772</v>
      </c>
      <c r="P27" s="269" t="s">
        <v>773</v>
      </c>
      <c r="Q27" s="266" t="s">
        <v>158</v>
      </c>
      <c r="R27" s="43" t="s">
        <v>771</v>
      </c>
      <c r="S27" s="43" t="s">
        <v>772</v>
      </c>
      <c r="T27" s="269" t="s">
        <v>773</v>
      </c>
      <c r="U27" s="266" t="s">
        <v>158</v>
      </c>
      <c r="V27" s="43" t="s">
        <v>771</v>
      </c>
      <c r="W27" s="43" t="s">
        <v>772</v>
      </c>
      <c r="X27" s="269" t="s">
        <v>773</v>
      </c>
      <c r="Y27" s="266" t="s">
        <v>158</v>
      </c>
      <c r="Z27" s="43" t="s">
        <v>771</v>
      </c>
      <c r="AA27" s="43" t="s">
        <v>772</v>
      </c>
      <c r="AB27" s="269" t="s">
        <v>773</v>
      </c>
      <c r="AC27" s="266" t="s">
        <v>158</v>
      </c>
      <c r="AD27" s="43" t="s">
        <v>771</v>
      </c>
      <c r="AE27" s="269" t="s">
        <v>773</v>
      </c>
      <c r="AF27" s="266" t="s">
        <v>158</v>
      </c>
      <c r="AG27" s="43" t="s">
        <v>771</v>
      </c>
      <c r="AH27" s="269" t="s">
        <v>773</v>
      </c>
      <c r="AI27" s="267"/>
    </row>
    <row r="28" spans="1:35" x14ac:dyDescent="0.25">
      <c r="A28" s="270">
        <v>2010</v>
      </c>
      <c r="B28" s="44">
        <v>13.1597954800285</v>
      </c>
      <c r="C28" s="272">
        <f>'Nat''l wholesale energy prices'!C7</f>
        <v>4.1046181515119597</v>
      </c>
      <c r="D28" s="273"/>
      <c r="E28" s="270">
        <v>2010</v>
      </c>
      <c r="F28" s="44">
        <v>9.7023495993706597</v>
      </c>
      <c r="G28" s="272">
        <f>'Nat''l wholesale energy prices'!D7</f>
        <v>3.9222570215359398</v>
      </c>
      <c r="H28" s="273"/>
      <c r="I28" s="270">
        <v>2010</v>
      </c>
      <c r="J28" s="44">
        <v>8.5104063822748497</v>
      </c>
      <c r="K28" s="272">
        <f>'Nat''l wholesale energy prices'!E7</f>
        <v>3.3722029826847604</v>
      </c>
      <c r="L28" s="273"/>
      <c r="M28" s="270">
        <v>2010</v>
      </c>
      <c r="N28" s="44">
        <v>7.7696792760692599</v>
      </c>
      <c r="O28" s="272">
        <f>'Nat''l wholesale energy prices'!F7</f>
        <v>3.2024271458350597</v>
      </c>
      <c r="P28" s="273"/>
      <c r="Q28" s="270">
        <v>2010</v>
      </c>
      <c r="R28" s="44">
        <v>10.062858269884201</v>
      </c>
      <c r="S28" s="272">
        <f>'Nat''l wholesale energy prices'!G7</f>
        <v>4.8340582253116802</v>
      </c>
      <c r="T28" s="273"/>
      <c r="U28" s="270">
        <v>2010</v>
      </c>
      <c r="V28" s="44">
        <v>16.147705735508701</v>
      </c>
      <c r="W28" s="272">
        <f>'Nat''l wholesale energy prices'!H7</f>
        <v>5.2277366856468497</v>
      </c>
      <c r="X28" s="273"/>
      <c r="Y28" s="270">
        <v>2010</v>
      </c>
      <c r="Z28" s="44">
        <v>14.890115308725701</v>
      </c>
      <c r="AA28" s="272">
        <f>'Nat''l wholesale energy prices'!I7</f>
        <v>5.2731472950097693</v>
      </c>
      <c r="AB28" s="273"/>
      <c r="AC28" s="274">
        <v>2010</v>
      </c>
      <c r="AD28" s="272">
        <v>8.3844936106919192</v>
      </c>
      <c r="AE28" s="273"/>
      <c r="AF28" s="274">
        <v>2010</v>
      </c>
      <c r="AG28" s="272">
        <v>8.9046849202836604</v>
      </c>
      <c r="AH28" s="273"/>
      <c r="AI28" s="240"/>
    </row>
    <row r="29" spans="1:35" x14ac:dyDescent="0.25">
      <c r="A29" s="270">
        <v>2011</v>
      </c>
      <c r="B29" s="44">
        <v>13.179088430798901</v>
      </c>
      <c r="C29" s="272">
        <f>'Nat''l wholesale energy prices'!C8</f>
        <v>3.2063998331288301</v>
      </c>
      <c r="D29" s="273"/>
      <c r="E29" s="270">
        <v>2011</v>
      </c>
      <c r="F29" s="44">
        <v>9.2384195187825195</v>
      </c>
      <c r="G29" s="272">
        <f>'Nat''l wholesale energy prices'!D8</f>
        <v>5.08792358443936</v>
      </c>
      <c r="H29" s="273"/>
      <c r="I29" s="270">
        <v>2011</v>
      </c>
      <c r="J29" s="44">
        <v>8.8125745169787404</v>
      </c>
      <c r="K29" s="272">
        <f>'Nat''l wholesale energy prices'!E8</f>
        <v>3.34137793559972</v>
      </c>
      <c r="L29" s="273"/>
      <c r="M29" s="270">
        <v>2011</v>
      </c>
      <c r="N29" s="44">
        <v>8.0901128912846101</v>
      </c>
      <c r="O29" s="272">
        <f>'Nat''l wholesale energy prices'!F8</f>
        <v>3.0084172832793299</v>
      </c>
      <c r="P29" s="273"/>
      <c r="Q29" s="270">
        <v>2011</v>
      </c>
      <c r="R29" s="44">
        <v>10.0350838582752</v>
      </c>
      <c r="S29" s="272">
        <f>'Nat''l wholesale energy prices'!G8</f>
        <v>4.5936970858498398</v>
      </c>
      <c r="T29" s="273"/>
      <c r="U29" s="270">
        <v>2011</v>
      </c>
      <c r="V29" s="44">
        <v>15.7505733925918</v>
      </c>
      <c r="W29" s="272">
        <f>'Nat''l wholesale energy prices'!H8</f>
        <v>4.8456912064321305</v>
      </c>
      <c r="X29" s="273"/>
      <c r="Y29" s="270">
        <v>2011</v>
      </c>
      <c r="Z29" s="44">
        <v>14.478926280770301</v>
      </c>
      <c r="AA29" s="272">
        <f>'Nat''l wholesale energy prices'!I8</f>
        <v>4.9226467291878802</v>
      </c>
      <c r="AB29" s="273"/>
      <c r="AC29" s="274">
        <v>2011</v>
      </c>
      <c r="AD29" s="272">
        <v>8.5325857623968808</v>
      </c>
      <c r="AE29" s="273"/>
      <c r="AF29" s="274">
        <v>2011</v>
      </c>
      <c r="AG29" s="272">
        <v>9.1602083872844293</v>
      </c>
      <c r="AH29" s="273"/>
      <c r="AI29" s="240"/>
    </row>
    <row r="30" spans="1:35" x14ac:dyDescent="0.25">
      <c r="A30" s="270">
        <v>2012</v>
      </c>
      <c r="B30" s="44">
        <v>13.908938698402601</v>
      </c>
      <c r="C30" s="272">
        <f>'Nat''l wholesale energy prices'!C9</f>
        <v>3.2273552420746396</v>
      </c>
      <c r="D30" s="273"/>
      <c r="E30" s="270">
        <v>2012</v>
      </c>
      <c r="F30" s="44">
        <v>8.8527407356169494</v>
      </c>
      <c r="G30" s="272">
        <f>'Nat''l wholesale energy prices'!D9</f>
        <v>2.6404723733654101</v>
      </c>
      <c r="H30" s="273"/>
      <c r="I30" s="270">
        <v>2012</v>
      </c>
      <c r="J30" s="44">
        <v>9.0414952117140803</v>
      </c>
      <c r="K30" s="272">
        <f>'Nat''l wholesale energy prices'!E9</f>
        <v>2.8946632289543799</v>
      </c>
      <c r="L30" s="273"/>
      <c r="M30" s="270">
        <v>2012</v>
      </c>
      <c r="N30" s="44">
        <v>8.1229580927166491</v>
      </c>
      <c r="O30" s="272">
        <f>'Nat''l wholesale energy prices'!F9</f>
        <v>2.289624080861</v>
      </c>
      <c r="P30" s="273"/>
      <c r="Q30" s="270">
        <v>2012</v>
      </c>
      <c r="R30" s="44">
        <v>9.7973183254704708</v>
      </c>
      <c r="S30" s="272">
        <f>'Nat''l wholesale energy prices'!G9</f>
        <v>3.5238373840942101</v>
      </c>
      <c r="T30" s="273"/>
      <c r="U30" s="270">
        <v>2012</v>
      </c>
      <c r="V30" s="44">
        <v>15.1064453723403</v>
      </c>
      <c r="W30" s="272">
        <f>'Nat''l wholesale energy prices'!H9</f>
        <v>3.7942032244957096</v>
      </c>
      <c r="X30" s="273"/>
      <c r="Y30" s="270">
        <v>2012</v>
      </c>
      <c r="Z30" s="44">
        <v>14.0262294579687</v>
      </c>
      <c r="AA30" s="272">
        <f>'Nat''l wholesale energy prices'!I9</f>
        <v>3.8535127161869802</v>
      </c>
      <c r="AB30" s="273"/>
      <c r="AC30" s="274">
        <v>2012</v>
      </c>
      <c r="AD30" s="272">
        <v>8.6966414848911509</v>
      </c>
      <c r="AE30" s="273"/>
      <c r="AF30" s="274">
        <v>2012</v>
      </c>
      <c r="AG30" s="272">
        <v>9.0823572181357406</v>
      </c>
      <c r="AH30" s="273"/>
      <c r="AI30" s="240"/>
    </row>
    <row r="31" spans="1:35" x14ac:dyDescent="0.25">
      <c r="A31" s="270">
        <v>2013</v>
      </c>
      <c r="B31" s="44">
        <v>14.819087912245401</v>
      </c>
      <c r="C31" s="272">
        <f>'Nat''l wholesale energy prices'!C10</f>
        <v>4.13021172730119</v>
      </c>
      <c r="D31" s="273"/>
      <c r="E31" s="270">
        <v>2013</v>
      </c>
      <c r="F31" s="44">
        <v>8.9631917063278994</v>
      </c>
      <c r="G31" s="272">
        <f>'Nat''l wholesale energy prices'!D10</f>
        <v>3.2451768786851098</v>
      </c>
      <c r="H31" s="273"/>
      <c r="I31" s="270">
        <v>2013</v>
      </c>
      <c r="J31" s="44">
        <v>8.96260606629194</v>
      </c>
      <c r="K31" s="272">
        <f>'Nat''l wholesale energy prices'!E10</f>
        <v>3.2456744013652399</v>
      </c>
      <c r="L31" s="273"/>
      <c r="M31" s="270">
        <v>2013</v>
      </c>
      <c r="N31" s="44">
        <v>8.4317984321191997</v>
      </c>
      <c r="O31" s="272">
        <f>'Nat''l wholesale energy prices'!F10</f>
        <v>2.6316479531833101</v>
      </c>
      <c r="P31" s="273"/>
      <c r="Q31" s="270">
        <v>2013</v>
      </c>
      <c r="R31" s="44">
        <v>9.86976749051993</v>
      </c>
      <c r="S31" s="272">
        <f>'Nat''l wholesale energy prices'!G10</f>
        <v>3.8675672773338201</v>
      </c>
      <c r="T31" s="273"/>
      <c r="U31" s="270">
        <v>2013</v>
      </c>
      <c r="V31" s="44">
        <v>15.6155925833918</v>
      </c>
      <c r="W31" s="272">
        <f>'Nat''l wholesale energy prices'!H10</f>
        <v>5.0149411989975805</v>
      </c>
      <c r="X31" s="273"/>
      <c r="Y31" s="270">
        <v>2013</v>
      </c>
      <c r="Z31" s="44">
        <v>14.457641210376501</v>
      </c>
      <c r="AA31" s="272">
        <f>'Nat''l wholesale energy prices'!I10</f>
        <v>6.0498898214012398</v>
      </c>
      <c r="AB31" s="273"/>
      <c r="AC31" s="274">
        <v>2013</v>
      </c>
      <c r="AD31" s="272">
        <v>9.0185091059333207</v>
      </c>
      <c r="AE31" s="273"/>
      <c r="AF31" s="274">
        <v>2013</v>
      </c>
      <c r="AG31" s="272">
        <v>9.4231916881029392</v>
      </c>
      <c r="AH31" s="273"/>
      <c r="AI31" s="240"/>
    </row>
    <row r="32" spans="1:35" x14ac:dyDescent="0.25">
      <c r="A32" s="270">
        <v>2014</v>
      </c>
      <c r="B32" s="44">
        <v>15.6397278451023</v>
      </c>
      <c r="C32" s="272">
        <f>'Nat''l wholesale energy prices'!C11</f>
        <v>4.5883536115275296</v>
      </c>
      <c r="D32" s="273">
        <v>4.8378620547945168</v>
      </c>
      <c r="E32" s="270">
        <v>2014</v>
      </c>
      <c r="F32" s="44">
        <v>9.1788447018411308</v>
      </c>
      <c r="G32" s="272">
        <f>'Nat''l wholesale energy prices'!D11</f>
        <v>4.6583156827350596</v>
      </c>
      <c r="H32" s="273">
        <v>4.4523374794520505</v>
      </c>
      <c r="I32" s="270">
        <v>2014</v>
      </c>
      <c r="J32" s="44">
        <v>9.1931012658323894</v>
      </c>
      <c r="K32" s="272">
        <f>'Nat''l wholesale energy prices'!E11</f>
        <v>3.86740440640832</v>
      </c>
      <c r="L32" s="273">
        <v>5.8634202739726016</v>
      </c>
      <c r="M32" s="270">
        <v>2014</v>
      </c>
      <c r="N32" s="44">
        <v>8.7289888724904099</v>
      </c>
      <c r="O32" s="272">
        <f>'Nat''l wholesale energy prices'!F11</f>
        <v>3.2828850607674398</v>
      </c>
      <c r="P32" s="273">
        <v>4.4686895342465665</v>
      </c>
      <c r="Q32" s="270">
        <v>2014</v>
      </c>
      <c r="R32" s="44">
        <v>10.2813497908974</v>
      </c>
      <c r="S32" s="272">
        <f>'Nat''l wholesale energy prices'!G11</f>
        <v>5.3200976384280798</v>
      </c>
      <c r="T32" s="273">
        <v>5.3359456438356094</v>
      </c>
      <c r="U32" s="270">
        <v>2014</v>
      </c>
      <c r="V32" s="44">
        <v>16.4544194287812</v>
      </c>
      <c r="W32" s="272">
        <f>'Nat''l wholesale energy prices'!H11</f>
        <v>5.7325541526604997</v>
      </c>
      <c r="X32" s="273">
        <v>6.6356353972602706</v>
      </c>
      <c r="Y32" s="270">
        <v>2014</v>
      </c>
      <c r="Z32" s="44">
        <v>15.491630634012401</v>
      </c>
      <c r="AA32" s="272">
        <f>'Nat''l wholesale energy prices'!I11</f>
        <v>6.895159144620381</v>
      </c>
      <c r="AB32" s="273">
        <v>8.2566501369862966</v>
      </c>
      <c r="AC32" s="274">
        <v>2014</v>
      </c>
      <c r="AD32" s="272">
        <v>9.2988608230190497</v>
      </c>
      <c r="AE32" s="273"/>
      <c r="AF32" s="274">
        <v>2014</v>
      </c>
      <c r="AG32" s="272">
        <v>9.8010647942878801</v>
      </c>
      <c r="AH32" s="273"/>
      <c r="AI32" s="240"/>
    </row>
    <row r="33" spans="1:35" x14ac:dyDescent="0.25">
      <c r="A33" s="270">
        <v>2015</v>
      </c>
      <c r="B33" s="44">
        <v>15.8782491641627</v>
      </c>
      <c r="C33" s="272">
        <f>'Nat''l wholesale energy prices'!C12</f>
        <v>3.3114229226604004</v>
      </c>
      <c r="D33" s="273">
        <v>2.8897835149863664</v>
      </c>
      <c r="E33" s="270">
        <v>2015</v>
      </c>
      <c r="F33" s="44">
        <v>8.8984364968234502</v>
      </c>
      <c r="G33" s="272">
        <f>'Nat''l wholesale energy prices'!D12</f>
        <v>2.5948048606901399</v>
      </c>
      <c r="H33" s="273">
        <v>2.6572517166212468</v>
      </c>
      <c r="I33" s="270">
        <v>2015</v>
      </c>
      <c r="J33" s="44">
        <v>9.2111248090926399</v>
      </c>
      <c r="K33" s="272">
        <f>'Nat''l wholesale energy prices'!E12</f>
        <v>2.7310755802748399</v>
      </c>
      <c r="L33" s="273">
        <v>2.844487683923703</v>
      </c>
      <c r="M33" s="270">
        <v>2015</v>
      </c>
      <c r="N33" s="44">
        <v>8.6177443216229008</v>
      </c>
      <c r="O33" s="272">
        <f>'Nat''l wholesale energy prices'!F12</f>
        <v>2.2847402704662598</v>
      </c>
      <c r="P33" s="273">
        <v>2.5230470844686628</v>
      </c>
      <c r="Q33" s="270">
        <v>2015</v>
      </c>
      <c r="R33" s="44">
        <v>10.3532437621366</v>
      </c>
      <c r="S33" s="272">
        <f>'Nat''l wholesale energy prices'!G12</f>
        <v>3.6194359907652598</v>
      </c>
      <c r="T33" s="273">
        <v>2.9008847411444121</v>
      </c>
      <c r="U33" s="270">
        <v>2015</v>
      </c>
      <c r="V33" s="44">
        <v>15.4241362854145</v>
      </c>
      <c r="W33" s="272">
        <f>'Nat''l wholesale energy prices'!H12</f>
        <v>3.8330386984619302</v>
      </c>
      <c r="X33" s="273">
        <v>4.0417231062670291</v>
      </c>
      <c r="Y33" s="270">
        <v>2015</v>
      </c>
      <c r="Z33" s="44">
        <v>16.5648707479561</v>
      </c>
      <c r="AA33" s="272">
        <f>'Nat''l wholesale energy prices'!I12</f>
        <v>4.4884480574677701</v>
      </c>
      <c r="AB33" s="273">
        <v>4.7922791280653945</v>
      </c>
      <c r="AC33" s="274">
        <v>2015</v>
      </c>
      <c r="AD33" s="272">
        <v>9.5048729422593201</v>
      </c>
      <c r="AE33" s="273"/>
      <c r="AF33" s="274">
        <v>2015</v>
      </c>
      <c r="AG33" s="272">
        <v>9.6822502993411508</v>
      </c>
      <c r="AH33" s="273"/>
      <c r="AI33" s="240"/>
    </row>
    <row r="34" spans="1:35" x14ac:dyDescent="0.25">
      <c r="A34" s="270">
        <v>2016</v>
      </c>
      <c r="B34" s="44">
        <v>15.7053379466038</v>
      </c>
      <c r="C34" s="272">
        <f>'Nat''l wholesale energy prices'!C13</f>
        <v>3.0421734651135899</v>
      </c>
      <c r="D34" s="273">
        <v>2.6559433972602706</v>
      </c>
      <c r="E34" s="270">
        <v>2016</v>
      </c>
      <c r="F34" s="44">
        <v>8.6504974282451101</v>
      </c>
      <c r="G34" s="272">
        <f>'Nat''l wholesale energy prices'!D13</f>
        <v>2.3484160616995799</v>
      </c>
      <c r="H34" s="273">
        <v>2.5460007123287616</v>
      </c>
      <c r="I34" s="270">
        <v>2016</v>
      </c>
      <c r="J34" s="44">
        <v>9.2631640758221092</v>
      </c>
      <c r="K34" s="272">
        <f>'Nat''l wholesale energy prices'!E13</f>
        <v>2.6848114698673999</v>
      </c>
      <c r="L34" s="273">
        <v>2.5695192328767118</v>
      </c>
      <c r="M34" s="270">
        <v>2016</v>
      </c>
      <c r="N34" s="44">
        <v>8.7333943764479791</v>
      </c>
      <c r="O34" s="272">
        <f>'Nat''l wholesale energy prices'!F13</f>
        <v>2.3620035724957598</v>
      </c>
      <c r="P34" s="273">
        <v>2.3950783561643809</v>
      </c>
      <c r="Q34" s="270">
        <v>2016</v>
      </c>
      <c r="R34" s="44">
        <v>10.286010131823399</v>
      </c>
      <c r="S34" s="272">
        <f>'Nat''l wholesale energy prices'!G13</f>
        <v>2.925080594777</v>
      </c>
      <c r="T34" s="273">
        <v>1.9673086027397191</v>
      </c>
      <c r="U34" s="270">
        <v>2016</v>
      </c>
      <c r="V34" s="44">
        <v>14.6180735537232</v>
      </c>
      <c r="W34" s="272">
        <f>'Nat''l wholesale energy prices'!H13</f>
        <v>3.0074006492779302</v>
      </c>
      <c r="X34" s="273">
        <v>2.593208383561644</v>
      </c>
      <c r="Y34" s="270">
        <v>2016</v>
      </c>
      <c r="Z34" s="44">
        <v>16.183022225741801</v>
      </c>
      <c r="AA34" s="272">
        <f>'Nat''l wholesale energy prices'!I13</f>
        <v>3.1738933137570702</v>
      </c>
      <c r="AB34" s="273">
        <v>3.1955612054794482</v>
      </c>
      <c r="AC34" s="274">
        <v>2016</v>
      </c>
      <c r="AD34" s="272">
        <v>9.4643458730514105</v>
      </c>
      <c r="AE34" s="273"/>
      <c r="AF34" s="274">
        <v>2016</v>
      </c>
      <c r="AG34" s="272">
        <v>9.5204027469824304</v>
      </c>
      <c r="AH34" s="273"/>
      <c r="AI34" s="240"/>
    </row>
    <row r="35" spans="1:35" x14ac:dyDescent="0.25">
      <c r="A35" s="270">
        <v>2017</v>
      </c>
      <c r="B35" s="44">
        <v>16.709632900929599</v>
      </c>
      <c r="C35" s="272">
        <f>'Nat''l wholesale energy prices'!C14</f>
        <v>3.4119913830982198</v>
      </c>
      <c r="D35" s="273">
        <v>3.2765724725274632</v>
      </c>
      <c r="E35" s="270">
        <v>2017</v>
      </c>
      <c r="F35" s="44">
        <v>8.4862551763771101</v>
      </c>
      <c r="G35" s="272">
        <f>'Nat''l wholesale energy prices'!D14</f>
        <v>2.65851716615802</v>
      </c>
      <c r="H35" s="273">
        <v>3.0624707142857113</v>
      </c>
      <c r="I35" s="270">
        <v>2017</v>
      </c>
      <c r="J35" s="44">
        <v>9.5624590462894901</v>
      </c>
      <c r="K35" s="272">
        <f>'Nat''l wholesale energy prices'!E14</f>
        <v>2.9486037894408001</v>
      </c>
      <c r="L35" s="273">
        <v>3.0116258241758178</v>
      </c>
      <c r="M35" s="270">
        <v>2017</v>
      </c>
      <c r="N35" s="44">
        <v>8.9966285198959302</v>
      </c>
      <c r="O35" s="272">
        <f>'Nat''l wholesale energy prices'!F14</f>
        <v>2.44974065203917</v>
      </c>
      <c r="P35" s="273">
        <v>2.7488179120879086</v>
      </c>
      <c r="Q35" s="270">
        <v>2017</v>
      </c>
      <c r="R35" s="44">
        <v>10.2616124998908</v>
      </c>
      <c r="S35" s="272">
        <f>'Nat''l wholesale energy prices'!G14</f>
        <v>3.10047829554042</v>
      </c>
      <c r="T35" s="273">
        <v>2.9560757142857117</v>
      </c>
      <c r="U35" s="270">
        <v>2017</v>
      </c>
      <c r="V35" s="44">
        <v>14.917050886497799</v>
      </c>
      <c r="W35" s="272">
        <f>'Nat''l wholesale energy prices'!H14</f>
        <v>3.12247262850055</v>
      </c>
      <c r="X35" s="273">
        <v>3.4251148351648304</v>
      </c>
      <c r="Y35" s="270">
        <v>2017</v>
      </c>
      <c r="Z35" s="44">
        <v>16.604435878999801</v>
      </c>
      <c r="AA35" s="272">
        <f>'Nat''l wholesale energy prices'!I14</f>
        <v>3.6325826601184801</v>
      </c>
      <c r="AB35" s="273">
        <v>3.9795323076923039</v>
      </c>
      <c r="AC35" s="274">
        <v>2017</v>
      </c>
      <c r="AD35" s="272">
        <v>9.6921056533685306</v>
      </c>
      <c r="AE35" s="273"/>
      <c r="AF35" s="274">
        <v>2017</v>
      </c>
      <c r="AG35" s="272">
        <v>9.7641167886935296</v>
      </c>
      <c r="AH35" s="273"/>
      <c r="AI35" s="240"/>
    </row>
    <row r="36" spans="1:35" x14ac:dyDescent="0.25">
      <c r="A36" s="270">
        <v>2018</v>
      </c>
      <c r="B36" s="44">
        <v>17.219682404990401</v>
      </c>
      <c r="C36" s="272">
        <f>'Nat''l wholesale energy prices'!C15</f>
        <v>3.8546853050258401</v>
      </c>
      <c r="D36" s="273">
        <v>4.0402514794520501</v>
      </c>
      <c r="E36" s="270">
        <v>2018</v>
      </c>
      <c r="F36" s="44">
        <v>8.6743927839497701</v>
      </c>
      <c r="G36" s="272">
        <f>'Nat''l wholesale energy prices'!D15</f>
        <v>3.2932387077717999</v>
      </c>
      <c r="H36" s="273">
        <v>3.277577424657534</v>
      </c>
      <c r="I36" s="270">
        <v>2018</v>
      </c>
      <c r="J36" s="44">
        <v>9.5391960660332593</v>
      </c>
      <c r="K36" s="272">
        <f>'Nat''l wholesale energy prices'!E15</f>
        <v>3.3037367698272595</v>
      </c>
      <c r="L36" s="273">
        <v>3.1232424657534237</v>
      </c>
      <c r="M36" s="270">
        <v>2018</v>
      </c>
      <c r="N36" s="44">
        <v>9.0943753326154795</v>
      </c>
      <c r="O36" s="272">
        <f>'Nat''l wholesale energy prices'!F15</f>
        <v>2.5549244561791</v>
      </c>
      <c r="P36" s="273">
        <v>2.5544469041095841</v>
      </c>
      <c r="Q36" s="270">
        <v>2018</v>
      </c>
      <c r="R36" s="44">
        <v>10.3035425018687</v>
      </c>
      <c r="S36" s="272">
        <f>'Nat''l wholesale energy prices'!G15</f>
        <v>3.8278901027454602</v>
      </c>
      <c r="T36" s="273">
        <v>3.9873419178082106</v>
      </c>
      <c r="U36" s="270">
        <v>2018</v>
      </c>
      <c r="V36" s="44">
        <v>15.0200741365482</v>
      </c>
      <c r="W36" s="272">
        <f>'Nat''l wholesale energy prices'!H15</f>
        <v>3.9323495178320003</v>
      </c>
      <c r="X36" s="273">
        <v>4.2967512328767121</v>
      </c>
      <c r="Y36" s="270">
        <v>2018</v>
      </c>
      <c r="Z36" s="44">
        <v>17.7423419804364</v>
      </c>
      <c r="AA36" s="272">
        <f>'Nat''l wholesale energy prices'!I15</f>
        <v>4.7083167402239399</v>
      </c>
      <c r="AB36" s="273">
        <v>5.1108844931506772</v>
      </c>
      <c r="AC36" s="274">
        <v>2018</v>
      </c>
      <c r="AD36" s="272">
        <v>9.7409746017518408</v>
      </c>
      <c r="AE36" s="273">
        <v>2.916147246575338</v>
      </c>
      <c r="AF36" s="274">
        <v>2018</v>
      </c>
      <c r="AG36" s="272">
        <v>9.6809724497598904</v>
      </c>
      <c r="AH36" s="273">
        <v>3.3899373698630075</v>
      </c>
      <c r="AI36" s="240"/>
    </row>
    <row r="37" spans="1:35" x14ac:dyDescent="0.25">
      <c r="A37" s="270">
        <v>2019</v>
      </c>
      <c r="B37" s="44">
        <v>17.4910028614857</v>
      </c>
      <c r="C37" s="272">
        <f>'Nat''l wholesale energy prices'!C16</f>
        <v>3.7181907362201203</v>
      </c>
      <c r="D37" s="273">
        <v>3.6510583561643806</v>
      </c>
      <c r="E37" s="270">
        <v>2019</v>
      </c>
      <c r="F37" s="44">
        <v>8.8709134681522297</v>
      </c>
      <c r="G37" s="272">
        <f>'Nat''l wholesale energy prices'!D16</f>
        <v>4.45439223544588</v>
      </c>
      <c r="H37" s="273">
        <v>2.5390617534246513</v>
      </c>
      <c r="I37" s="270">
        <v>2019</v>
      </c>
      <c r="J37" s="44">
        <v>9.5516167279435802</v>
      </c>
      <c r="K37" s="272">
        <f>'Nat''l wholesale energy prices'!E16</f>
        <v>2.5132650488183801</v>
      </c>
      <c r="L37" s="273">
        <v>2.477549589041093</v>
      </c>
      <c r="M37" s="270">
        <v>2019</v>
      </c>
      <c r="N37" s="44">
        <v>8.6865070101700201</v>
      </c>
      <c r="O37" s="272">
        <f>'Nat''l wholesale energy prices'!F16</f>
        <v>2.2065513189078301</v>
      </c>
      <c r="P37" s="273">
        <v>1.9474586301369823</v>
      </c>
      <c r="Q37" s="270">
        <v>2019</v>
      </c>
      <c r="R37" s="44">
        <v>10.1854257621877</v>
      </c>
      <c r="S37" s="272">
        <f>'Nat''l wholesale energy prices'!G16</f>
        <v>2.7326130678160698</v>
      </c>
      <c r="T37" s="273">
        <v>2.494953863013694</v>
      </c>
      <c r="U37" s="270">
        <v>2019</v>
      </c>
      <c r="V37" s="44">
        <v>14.404786040924501</v>
      </c>
      <c r="W37" s="272">
        <f>'Nat''l wholesale energy prices'!H16</f>
        <v>2.7942459359622798</v>
      </c>
      <c r="X37" s="273">
        <v>2.9036699178082106</v>
      </c>
      <c r="Y37" s="270">
        <v>2019</v>
      </c>
      <c r="Z37" s="44">
        <v>17.842560552230601</v>
      </c>
      <c r="AA37" s="272">
        <f>'Nat''l wholesale energy prices'!I16</f>
        <v>3.2447941045812798</v>
      </c>
      <c r="AB37" s="273">
        <v>3.41641347945205</v>
      </c>
      <c r="AC37" s="274">
        <v>2019</v>
      </c>
      <c r="AD37" s="272">
        <v>9.7131790334236694</v>
      </c>
      <c r="AE37" s="273">
        <v>2.9715167260273883</v>
      </c>
      <c r="AF37" s="274">
        <v>2019</v>
      </c>
      <c r="AG37" s="272">
        <v>9.8871587653798798</v>
      </c>
      <c r="AH37" s="273">
        <v>2.6093329315068474</v>
      </c>
      <c r="AI37" s="240"/>
    </row>
    <row r="38" spans="1:35" x14ac:dyDescent="0.25">
      <c r="A38" s="270">
        <v>2020</v>
      </c>
      <c r="B38" s="44">
        <v>18.8027170750733</v>
      </c>
      <c r="C38" s="272">
        <f>'Nat''l wholesale energy prices'!C17</f>
        <v>3.1291792562721499</v>
      </c>
      <c r="D38" s="273">
        <v>2.863836358695651</v>
      </c>
      <c r="E38" s="270">
        <v>2020</v>
      </c>
      <c r="F38" s="44">
        <v>8.5825264100007495</v>
      </c>
      <c r="G38" s="272">
        <f>'Nat''l wholesale energy prices'!D17</f>
        <v>2.2970603175959798</v>
      </c>
      <c r="H38" s="273">
        <v>2.0671995652173867</v>
      </c>
      <c r="I38" s="270">
        <v>2020</v>
      </c>
      <c r="J38" s="44">
        <v>9.5441212284040002</v>
      </c>
      <c r="K38" s="272">
        <f>'Nat''l wholesale energy prices'!E17</f>
        <v>2.0848070123586302</v>
      </c>
      <c r="L38" s="273">
        <v>1.9450653260869524</v>
      </c>
      <c r="M38" s="270">
        <v>2020</v>
      </c>
      <c r="N38" s="44">
        <v>8.4348193270826197</v>
      </c>
      <c r="O38" s="272">
        <f>'Nat''l wholesale energy prices'!F17</f>
        <v>1.7706274454122901</v>
      </c>
      <c r="P38" s="273">
        <v>1.8007889673913018</v>
      </c>
      <c r="Q38" s="270">
        <v>2020</v>
      </c>
      <c r="R38" s="44">
        <v>10.1149776767419</v>
      </c>
      <c r="S38" s="272">
        <f>'Nat''l wholesale energy prices'!G17</f>
        <v>2.1754014160938899</v>
      </c>
      <c r="T38" s="273">
        <v>1.7119102173913017</v>
      </c>
      <c r="U38" s="270">
        <v>2020</v>
      </c>
      <c r="V38" s="44">
        <v>15.0612309172051</v>
      </c>
      <c r="W38" s="272">
        <f>'Nat''l wholesale energy prices'!H17</f>
        <v>2.1287584712866598</v>
      </c>
      <c r="X38" s="273">
        <v>1.9812260869565186</v>
      </c>
      <c r="Y38" s="270">
        <v>2020</v>
      </c>
      <c r="Z38" s="44">
        <v>17.870020484745901</v>
      </c>
      <c r="AA38" s="272">
        <f>'Nat''l wholesale energy prices'!I17</f>
        <v>2.4887980819914102</v>
      </c>
      <c r="AB38" s="273">
        <v>2.2312769021739052</v>
      </c>
      <c r="AC38" s="274">
        <v>2020</v>
      </c>
      <c r="AD38" s="272">
        <v>9.8437479610232792</v>
      </c>
      <c r="AE38" s="273">
        <v>2.1146711413043389</v>
      </c>
      <c r="AF38" s="274">
        <v>2020</v>
      </c>
      <c r="AG38" s="272">
        <v>9.7381206300299397</v>
      </c>
      <c r="AH38" s="273">
        <v>2.0769308152173864</v>
      </c>
      <c r="AI38" s="240"/>
    </row>
    <row r="39" spans="1:35" x14ac:dyDescent="0.25">
      <c r="A39" s="270">
        <v>2021</v>
      </c>
      <c r="B39" s="44">
        <v>20.704495386594498</v>
      </c>
      <c r="C39" s="272">
        <f>'Nat''l wholesale energy prices'!C18</f>
        <v>4.6771626526474899</v>
      </c>
      <c r="D39" s="273">
        <v>5.9777108241758175</v>
      </c>
      <c r="E39" s="270">
        <v>2021</v>
      </c>
      <c r="F39" s="44">
        <v>9.1846693595591304</v>
      </c>
      <c r="G39" s="272">
        <f>'Nat''l wholesale energy prices'!D18</f>
        <v>16.470944560276301</v>
      </c>
      <c r="H39" s="273">
        <v>6.4621773626373571</v>
      </c>
      <c r="I39" s="270">
        <v>2021</v>
      </c>
      <c r="J39" s="44">
        <v>10.159736835357201</v>
      </c>
      <c r="K39" s="272">
        <f>'Nat''l wholesale energy prices'!E18</f>
        <v>3.9043886340285701</v>
      </c>
      <c r="L39" s="273">
        <v>4.7696385164835133</v>
      </c>
      <c r="M39" s="270">
        <v>2021</v>
      </c>
      <c r="N39" s="44">
        <v>9.0842497655403296</v>
      </c>
      <c r="O39" s="272">
        <f>'Nat''l wholesale energy prices'!F18</f>
        <v>4.3136775766318403</v>
      </c>
      <c r="P39" s="273">
        <v>7.5648812637362637</v>
      </c>
      <c r="Q39" s="270">
        <v>2021</v>
      </c>
      <c r="R39" s="44">
        <v>10.4027053585922</v>
      </c>
      <c r="S39" s="272">
        <f>'Nat''l wholesale energy prices'!G18</f>
        <v>3.9786864546224301</v>
      </c>
      <c r="T39" s="273">
        <v>3.5621935714285673</v>
      </c>
      <c r="U39" s="270">
        <v>2021</v>
      </c>
      <c r="V39" s="44">
        <v>16.343497629387102</v>
      </c>
      <c r="W39" s="272">
        <f>'Nat''l wholesale energy prices'!H18</f>
        <v>3.9819342621693701</v>
      </c>
      <c r="X39" s="273">
        <v>4.214536648351646</v>
      </c>
      <c r="Y39" s="270">
        <v>2021</v>
      </c>
      <c r="Z39" s="44">
        <v>18.1736288138951</v>
      </c>
      <c r="AA39" s="272">
        <f>'Nat''l wholesale energy prices'!I18</f>
        <v>4.7500516211893098</v>
      </c>
      <c r="AB39" s="273">
        <v>4.8672789560439487</v>
      </c>
      <c r="AC39" s="274">
        <v>2021</v>
      </c>
      <c r="AD39" s="272">
        <v>10.166970170288799</v>
      </c>
      <c r="AE39" s="273">
        <v>5.0778304120879083</v>
      </c>
      <c r="AF39" s="274">
        <v>2021</v>
      </c>
      <c r="AG39" s="272">
        <v>10.0590942772135</v>
      </c>
      <c r="AH39" s="273">
        <v>4.0161474725274635</v>
      </c>
      <c r="AI39" s="240"/>
    </row>
    <row r="40" spans="1:35" x14ac:dyDescent="0.25">
      <c r="A40" s="270">
        <v>2022</v>
      </c>
      <c r="B40" s="44">
        <v>23.907904646313</v>
      </c>
      <c r="C40" s="272">
        <f>'Nat''l wholesale energy prices'!C19</f>
        <v>8.429910023058131</v>
      </c>
      <c r="D40" s="273">
        <v>9.7294726027397189</v>
      </c>
      <c r="E40" s="270">
        <v>2022</v>
      </c>
      <c r="F40" s="44">
        <v>10.182085139475101</v>
      </c>
      <c r="G40" s="272">
        <f>'Nat''l wholesale energy prices'!D19</f>
        <v>7.1859233376003004</v>
      </c>
      <c r="H40" s="273">
        <v>6.0715890410958897</v>
      </c>
      <c r="I40" s="270">
        <v>2022</v>
      </c>
      <c r="J40" s="44">
        <v>11.2131608989267</v>
      </c>
      <c r="K40" s="272">
        <f>'Nat''l wholesale energy prices'!E19</f>
        <v>6.25666639887248</v>
      </c>
      <c r="L40" s="273">
        <v>6.2955695342465656</v>
      </c>
      <c r="M40" s="270">
        <v>2022</v>
      </c>
      <c r="N40" s="44">
        <v>9.9383016452702595</v>
      </c>
      <c r="O40" s="272">
        <f>'Nat''l wholesale energy prices'!F19</f>
        <v>4.9023479561924095</v>
      </c>
      <c r="P40" s="273">
        <v>6.041444383561644</v>
      </c>
      <c r="Q40" s="270">
        <v>2022</v>
      </c>
      <c r="R40" s="44">
        <v>11.813815743905501</v>
      </c>
      <c r="S40" s="272">
        <f>'Nat''l wholesale energy prices'!G19</f>
        <v>8.0159179913595402</v>
      </c>
      <c r="T40" s="273">
        <v>7.1459048219178047</v>
      </c>
      <c r="U40" s="270">
        <v>2022</v>
      </c>
      <c r="V40" s="44">
        <v>18.611281216968599</v>
      </c>
      <c r="W40" s="272">
        <f>'Nat''l wholesale energy prices'!H19</f>
        <v>8.1806021166833407</v>
      </c>
      <c r="X40" s="273">
        <v>8.5304546301369815</v>
      </c>
      <c r="Y40" s="270">
        <v>2022</v>
      </c>
      <c r="Z40" s="44">
        <v>20.667005726577202</v>
      </c>
      <c r="AA40" s="272">
        <f>'Nat''l wholesale energy prices'!I19</f>
        <v>9.1381141540387407</v>
      </c>
      <c r="AB40" s="273">
        <v>9.6080976986301359</v>
      </c>
      <c r="AC40" s="274">
        <v>2022</v>
      </c>
      <c r="AD40" s="272">
        <v>10.8393407874054</v>
      </c>
      <c r="AE40" s="273">
        <v>8.3427899178082114</v>
      </c>
      <c r="AF40" s="274">
        <v>2022</v>
      </c>
      <c r="AG40" s="272">
        <v>11.2992807821157</v>
      </c>
      <c r="AH40" s="273">
        <v>7.5096313972602706</v>
      </c>
      <c r="AI40" s="240"/>
    </row>
    <row r="41" spans="1:35" x14ac:dyDescent="0.25">
      <c r="A41" s="270">
        <v>2023</v>
      </c>
      <c r="B41" s="44">
        <v>27.0158239276664</v>
      </c>
      <c r="C41" s="272">
        <f>'Nat''l wholesale energy prices'!C20</f>
        <v>5.4967542153207605</v>
      </c>
      <c r="D41" s="273">
        <v>5.8690915384615288</v>
      </c>
      <c r="E41" s="270">
        <v>2023</v>
      </c>
      <c r="F41" s="44">
        <v>10.2756987130835</v>
      </c>
      <c r="G41" s="272">
        <f>'Nat''l wholesale energy prices'!D20</f>
        <v>6.2409728006654399</v>
      </c>
      <c r="H41" s="273">
        <v>2.3220402197802126</v>
      </c>
      <c r="I41" s="270">
        <v>2023</v>
      </c>
      <c r="J41" s="44">
        <v>11.2434687058536</v>
      </c>
      <c r="K41" s="272">
        <f>'Nat''l wholesale energy prices'!E20</f>
        <v>3.0672788366040402</v>
      </c>
      <c r="L41" s="273">
        <v>2.3727140109890024</v>
      </c>
      <c r="M41" s="270">
        <v>2023</v>
      </c>
      <c r="N41" s="44">
        <v>9.6130897901508892</v>
      </c>
      <c r="O41" s="272">
        <f>'Nat''l wholesale energy prices'!F20</f>
        <v>2.54112450269333</v>
      </c>
      <c r="P41" s="273">
        <v>2.2541709890109871</v>
      </c>
      <c r="Q41" s="270">
        <v>2023</v>
      </c>
      <c r="R41" s="44">
        <v>12.0912686280417</v>
      </c>
      <c r="S41" s="272">
        <f>'Nat''l wholesale energy prices'!G20</f>
        <v>3.1078590522873002</v>
      </c>
      <c r="T41" s="273">
        <v>2.1111893406593318</v>
      </c>
      <c r="U41" s="270">
        <v>2023</v>
      </c>
      <c r="V41" s="44">
        <v>18.2999283218162</v>
      </c>
      <c r="W41" s="272">
        <f>'Nat''l wholesale energy prices'!H20</f>
        <v>3.1584394334833501</v>
      </c>
      <c r="X41" s="273">
        <v>2.768237637362633</v>
      </c>
      <c r="Y41" s="270">
        <v>2023</v>
      </c>
      <c r="Z41" s="44">
        <v>22.959474174108401</v>
      </c>
      <c r="AA41" s="272">
        <f>'Nat''l wholesale energy prices'!I20</f>
        <v>3.8390684920684399</v>
      </c>
      <c r="AB41" s="273">
        <v>3.203028461538461</v>
      </c>
      <c r="AC41" s="274">
        <v>2023</v>
      </c>
      <c r="AD41" s="272">
        <v>11.496546938182201</v>
      </c>
      <c r="AE41" s="273">
        <v>4.2549944093406582</v>
      </c>
      <c r="AF41" s="274">
        <v>2023</v>
      </c>
      <c r="AG41" s="272">
        <v>11.550877968804</v>
      </c>
      <c r="AH41" s="273">
        <v>2.757943186813185</v>
      </c>
      <c r="AI41" s="240"/>
    </row>
    <row r="42" spans="1:35" s="81" customFormat="1" x14ac:dyDescent="0.25">
      <c r="A42" s="270">
        <v>2024</v>
      </c>
      <c r="B42" s="44">
        <v>29.692124356954299</v>
      </c>
      <c r="C42" s="272">
        <f>'Nat''l wholesale energy prices'!C21</f>
        <v>3.4573688833852101</v>
      </c>
      <c r="D42" s="273">
        <v>2.7226938524590167</v>
      </c>
      <c r="E42" s="270">
        <v>2024</v>
      </c>
      <c r="F42" s="44">
        <v>10.054389063302599</v>
      </c>
      <c r="G42" s="272">
        <f>'Nat''l wholesale energy prices'!D21</f>
        <v>2.8931119688553402</v>
      </c>
      <c r="H42" s="273">
        <v>1.9993411475409768</v>
      </c>
      <c r="I42" s="270">
        <v>2024</v>
      </c>
      <c r="J42" s="44">
        <v>11.278018384063801</v>
      </c>
      <c r="K42" s="272">
        <f>'Nat''l wholesale energy prices'!E21</f>
        <v>2.9524669047213901</v>
      </c>
      <c r="L42" s="273">
        <v>2.1765385245901561</v>
      </c>
      <c r="M42" s="270">
        <v>2024</v>
      </c>
      <c r="N42" s="44">
        <v>9.4168256748023804</v>
      </c>
      <c r="O42" s="272">
        <f>'Nat''l wholesale energy prices'!F21</f>
        <v>2.5765786899896401</v>
      </c>
      <c r="P42" s="273">
        <v>2.0461929508196675</v>
      </c>
      <c r="Q42" s="270">
        <v>2024</v>
      </c>
      <c r="R42" s="44">
        <v>12.4145210761389</v>
      </c>
      <c r="S42" s="272">
        <f>'Nat''l wholesale energy prices'!G21</f>
        <v>3.3743677794642104</v>
      </c>
      <c r="T42" s="273">
        <v>2.2025168852458918</v>
      </c>
      <c r="U42" s="270">
        <v>2024</v>
      </c>
      <c r="V42" s="44">
        <v>19.6636670133114</v>
      </c>
      <c r="W42" s="272">
        <f>'Nat''l wholesale energy prices'!H21</f>
        <v>3.8019507470226102</v>
      </c>
      <c r="X42" s="273">
        <v>2.811902295081957</v>
      </c>
      <c r="Y42" s="270">
        <v>2024</v>
      </c>
      <c r="Z42" s="44">
        <v>23.127674789188401</v>
      </c>
      <c r="AA42" s="272">
        <f>'Nat''l wholesale energy prices'!I21</f>
        <v>4.2675459106554694</v>
      </c>
      <c r="AB42" s="273">
        <v>3.2354970491803186</v>
      </c>
      <c r="AC42" s="274">
        <v>2024</v>
      </c>
      <c r="AD42" s="272">
        <v>11.911444700862999</v>
      </c>
      <c r="AE42" s="273">
        <v>2.1861811475409771</v>
      </c>
      <c r="AF42" s="274">
        <v>2024</v>
      </c>
      <c r="AG42" s="272">
        <v>11.580456365621201</v>
      </c>
      <c r="AH42" s="273">
        <v>2.6734739344262248</v>
      </c>
      <c r="AI42" s="268"/>
    </row>
    <row r="43" spans="1:35" s="81" customFormat="1" x14ac:dyDescent="0.25">
      <c r="A43" s="270">
        <v>2025</v>
      </c>
      <c r="B43" s="44">
        <v>30.3156589684503</v>
      </c>
      <c r="C43" s="272">
        <f>'Nat''l wholesale energy prices'!C22</f>
        <v>3.4365299730239203</v>
      </c>
      <c r="D43" s="273">
        <v>3.4424790489130372</v>
      </c>
      <c r="E43" s="270">
        <v>2025</v>
      </c>
      <c r="F43" s="44">
        <v>10.4364558477081</v>
      </c>
      <c r="G43" s="272">
        <f>'Nat''l wholesale energy prices'!D22</f>
        <v>3.3264431650378397</v>
      </c>
      <c r="H43" s="273">
        <v>3.2058122282608679</v>
      </c>
      <c r="I43" s="270">
        <v>2025</v>
      </c>
      <c r="J43" s="44">
        <v>11.905295849724601</v>
      </c>
      <c r="K43" s="272">
        <f>'Nat''l wholesale energy prices'!E22</f>
        <v>4.3363629229805705</v>
      </c>
      <c r="L43" s="273">
        <v>3.3654329347826035</v>
      </c>
      <c r="M43" s="270">
        <v>2025</v>
      </c>
      <c r="N43" s="44">
        <v>9.7909572938667804</v>
      </c>
      <c r="O43" s="272">
        <f>'Nat''l wholesale energy prices'!F22</f>
        <v>2.9025223076321702</v>
      </c>
      <c r="P43" s="273">
        <v>3.0961452717391218</v>
      </c>
      <c r="Q43" s="270">
        <v>2025</v>
      </c>
      <c r="R43" s="44">
        <v>13.6181326365926</v>
      </c>
      <c r="S43" s="272">
        <f>'Nat''l wholesale energy prices'!G22</f>
        <v>5.07458414568476</v>
      </c>
      <c r="T43" s="273">
        <v>3.8609933152173865</v>
      </c>
      <c r="U43" s="270">
        <v>2025</v>
      </c>
      <c r="V43" s="44">
        <v>21.456633954677599</v>
      </c>
      <c r="W43" s="272">
        <f>'Nat''l wholesale energy prices'!H22</f>
        <v>6.6012084043861403</v>
      </c>
      <c r="X43" s="273">
        <v>6.0367033695652168</v>
      </c>
      <c r="Y43" s="270">
        <v>2025</v>
      </c>
      <c r="Z43" s="44">
        <v>24.618723385386598</v>
      </c>
      <c r="AA43" s="272">
        <f>'Nat''l wholesale energy prices'!I22</f>
        <v>7.2590220008604405</v>
      </c>
      <c r="AB43" s="273">
        <v>6.7306402173913016</v>
      </c>
      <c r="AC43" s="274">
        <v>2025</v>
      </c>
      <c r="AD43" s="272">
        <v>12.266040971470501</v>
      </c>
      <c r="AE43" s="273">
        <v>2.6834344972826032</v>
      </c>
      <c r="AF43" s="274">
        <v>2025</v>
      </c>
      <c r="AG43" s="272">
        <v>12.1136612520098</v>
      </c>
      <c r="AH43" s="273">
        <v>4.1507307065217356</v>
      </c>
      <c r="AI43" s="268"/>
    </row>
    <row r="44" spans="1:35" s="81" customFormat="1" x14ac:dyDescent="0.25">
      <c r="A44" s="25"/>
      <c r="B44" s="44"/>
      <c r="C44" s="49"/>
      <c r="D44" s="84"/>
      <c r="E44"/>
      <c r="F44"/>
      <c r="AC44" s="77"/>
      <c r="AF44" s="77"/>
    </row>
    <row r="45" spans="1:35" s="81" customFormat="1" x14ac:dyDescent="0.25">
      <c r="A45" s="25"/>
      <c r="B45" s="44"/>
      <c r="C45" s="49"/>
      <c r="D45" s="84"/>
      <c r="E45"/>
      <c r="F45"/>
      <c r="AC45" s="77"/>
      <c r="AF45" s="77"/>
    </row>
    <row r="46" spans="1:35" x14ac:dyDescent="0.25">
      <c r="H46" s="26"/>
      <c r="I46" s="26"/>
      <c r="J46" s="26"/>
      <c r="K46" s="26"/>
      <c r="L46" s="26"/>
      <c r="M46" s="26"/>
      <c r="N46" s="26"/>
    </row>
    <row r="47" spans="1:35" s="81" customFormat="1" x14ac:dyDescent="0.25">
      <c r="A47" t="s">
        <v>197</v>
      </c>
      <c r="B47" s="152" t="s">
        <v>483</v>
      </c>
      <c r="C47" s="25"/>
      <c r="D47" s="25"/>
      <c r="E47"/>
      <c r="F47"/>
      <c r="H47" s="190"/>
      <c r="I47" s="190"/>
      <c r="J47" s="190"/>
      <c r="K47" s="190"/>
      <c r="L47" s="190"/>
      <c r="M47" s="190"/>
      <c r="N47" s="190"/>
      <c r="AC47" s="77"/>
      <c r="AF47" s="77"/>
    </row>
    <row r="48" spans="1:35" s="81" customFormat="1" x14ac:dyDescent="0.25">
      <c r="A48"/>
      <c r="B48" s="152" t="s">
        <v>776</v>
      </c>
      <c r="C48" s="25"/>
      <c r="D48" s="25"/>
      <c r="E48"/>
      <c r="F48"/>
      <c r="H48" s="190"/>
      <c r="I48" s="190"/>
      <c r="J48" s="190"/>
      <c r="K48" s="190"/>
      <c r="L48" s="190"/>
      <c r="M48" s="190"/>
      <c r="N48" s="190"/>
      <c r="AC48" s="77"/>
      <c r="AF48" s="77"/>
    </row>
    <row r="49" spans="1:32" s="81" customFormat="1" x14ac:dyDescent="0.25">
      <c r="A49"/>
      <c r="B49" s="152" t="s">
        <v>777</v>
      </c>
      <c r="C49" s="25"/>
      <c r="D49" s="25"/>
      <c r="E49"/>
      <c r="F49"/>
      <c r="H49" s="190"/>
      <c r="I49" s="190"/>
      <c r="J49" s="190"/>
      <c r="K49" s="190"/>
      <c r="L49" s="190"/>
      <c r="M49" s="190"/>
      <c r="N49" s="190"/>
      <c r="AC49" s="77"/>
      <c r="AF49" s="77"/>
    </row>
    <row r="50" spans="1:32" s="81" customFormat="1" x14ac:dyDescent="0.25">
      <c r="A50" s="25"/>
      <c r="B50" s="71"/>
      <c r="C50" s="25"/>
      <c r="D50" s="25"/>
      <c r="E50"/>
      <c r="F50"/>
      <c r="H50" s="190"/>
      <c r="I50" s="190"/>
      <c r="J50" s="190"/>
      <c r="K50" s="190"/>
      <c r="L50" s="190"/>
      <c r="M50" s="190"/>
      <c r="N50" s="190"/>
      <c r="AC50" s="77"/>
      <c r="AF50" s="77"/>
    </row>
    <row r="51" spans="1:32" x14ac:dyDescent="0.25">
      <c r="A51" t="s">
        <v>205</v>
      </c>
      <c r="B51" s="28" t="s">
        <v>778</v>
      </c>
      <c r="H51" s="26"/>
      <c r="I51" s="26"/>
      <c r="J51" s="26"/>
      <c r="K51" s="26"/>
      <c r="L51" s="26"/>
      <c r="M51" s="26"/>
      <c r="N51" s="26"/>
    </row>
    <row r="52" spans="1:32" x14ac:dyDescent="0.25">
      <c r="B52" s="28" t="s">
        <v>487</v>
      </c>
      <c r="H52" s="26"/>
      <c r="I52" s="26"/>
      <c r="J52" s="26"/>
      <c r="K52" s="26"/>
      <c r="L52" s="26"/>
      <c r="M52" s="26"/>
      <c r="N52" s="26"/>
    </row>
    <row r="53" spans="1:32" x14ac:dyDescent="0.25">
      <c r="B53" s="28" t="s">
        <v>499</v>
      </c>
      <c r="H53" s="26"/>
      <c r="I53" s="26"/>
      <c r="J53" s="26"/>
      <c r="K53" s="26"/>
      <c r="L53" s="26"/>
      <c r="M53" s="26"/>
      <c r="N53" s="26"/>
    </row>
    <row r="54" spans="1:32" x14ac:dyDescent="0.25">
      <c r="B54" t="s">
        <v>500</v>
      </c>
      <c r="H54" s="26"/>
      <c r="I54" s="26"/>
      <c r="J54" s="26"/>
      <c r="K54" s="26"/>
      <c r="L54" s="26"/>
      <c r="M54" s="26"/>
      <c r="N54" s="26"/>
    </row>
    <row r="55" spans="1:32" x14ac:dyDescent="0.25">
      <c r="B55" t="s">
        <v>501</v>
      </c>
      <c r="H55" s="26"/>
      <c r="I55" s="26"/>
      <c r="J55" s="26"/>
      <c r="K55" s="26"/>
      <c r="L55" s="26"/>
      <c r="M55" s="26"/>
      <c r="N55" s="26"/>
    </row>
    <row r="56" spans="1:32" x14ac:dyDescent="0.25">
      <c r="B56" t="s">
        <v>502</v>
      </c>
      <c r="H56" s="26"/>
      <c r="I56" s="26"/>
      <c r="J56" s="26"/>
      <c r="K56" s="26"/>
      <c r="L56" s="26"/>
      <c r="M56" s="26"/>
      <c r="N56" s="26"/>
    </row>
    <row r="57" spans="1:32" x14ac:dyDescent="0.25">
      <c r="B57" t="s">
        <v>503</v>
      </c>
      <c r="H57" s="26"/>
      <c r="I57" s="26"/>
      <c r="J57" s="26"/>
      <c r="K57" s="26"/>
      <c r="L57" s="26"/>
      <c r="M57" s="26"/>
      <c r="N57" s="26"/>
    </row>
    <row r="58" spans="1:32" x14ac:dyDescent="0.25">
      <c r="B58" t="s">
        <v>504</v>
      </c>
      <c r="H58" s="26"/>
      <c r="I58" s="26"/>
      <c r="J58" s="26"/>
      <c r="K58" s="26"/>
      <c r="L58" s="26"/>
      <c r="M58" s="26"/>
      <c r="N58" s="26"/>
    </row>
    <row r="59" spans="1:32" x14ac:dyDescent="0.25">
      <c r="B59" t="s">
        <v>505</v>
      </c>
      <c r="H59" s="26"/>
      <c r="I59" s="26"/>
      <c r="J59" s="26"/>
      <c r="K59" s="26"/>
      <c r="L59" s="26"/>
      <c r="M59" s="26"/>
      <c r="N59" s="26"/>
    </row>
    <row r="60" spans="1:32" x14ac:dyDescent="0.25">
      <c r="B60" t="s">
        <v>506</v>
      </c>
      <c r="H60" s="26"/>
      <c r="I60" s="26"/>
      <c r="J60" s="26"/>
      <c r="K60" s="26"/>
      <c r="L60" s="26"/>
      <c r="M60" s="26"/>
      <c r="N60" s="26"/>
    </row>
    <row r="61" spans="1:32" x14ac:dyDescent="0.25">
      <c r="B61" t="s">
        <v>1204</v>
      </c>
      <c r="H61" s="26"/>
      <c r="I61" s="26"/>
      <c r="J61" s="26"/>
      <c r="K61" s="26"/>
      <c r="L61" s="26"/>
      <c r="M61" s="26"/>
      <c r="N61" s="26"/>
    </row>
    <row r="62" spans="1:32" x14ac:dyDescent="0.25">
      <c r="B62" t="s">
        <v>1203</v>
      </c>
      <c r="H62" s="26"/>
      <c r="I62" s="26"/>
      <c r="J62" s="26"/>
      <c r="K62" s="26"/>
      <c r="L62" s="26"/>
      <c r="M62" s="26"/>
      <c r="N62" s="26"/>
    </row>
    <row r="63" spans="1:32" x14ac:dyDescent="0.25">
      <c r="B63" t="s">
        <v>779</v>
      </c>
      <c r="H63" s="26"/>
      <c r="I63" s="26"/>
      <c r="J63" s="26"/>
      <c r="K63" s="26"/>
      <c r="L63" s="26"/>
      <c r="M63" s="26"/>
      <c r="N63" s="26"/>
    </row>
    <row r="64" spans="1:32" x14ac:dyDescent="0.25">
      <c r="B64" s="28" t="s">
        <v>488</v>
      </c>
      <c r="H64" s="26"/>
      <c r="I64" s="26"/>
      <c r="J64" s="26"/>
      <c r="K64" s="26"/>
      <c r="L64" s="26"/>
      <c r="M64" s="26"/>
      <c r="N64" s="26"/>
    </row>
  </sheetData>
  <mergeCells count="18">
    <mergeCell ref="Y5:AB5"/>
    <mergeCell ref="AC5:AE5"/>
    <mergeCell ref="AF5:AH5"/>
    <mergeCell ref="Y26:AB26"/>
    <mergeCell ref="AC26:AE26"/>
    <mergeCell ref="AF26:AH26"/>
    <mergeCell ref="Q5:T5"/>
    <mergeCell ref="U5:X5"/>
    <mergeCell ref="A26:D26"/>
    <mergeCell ref="E26:H26"/>
    <mergeCell ref="M26:P26"/>
    <mergeCell ref="Q26:T26"/>
    <mergeCell ref="U26:X26"/>
    <mergeCell ref="I26:L26"/>
    <mergeCell ref="A5:D5"/>
    <mergeCell ref="E5:H5"/>
    <mergeCell ref="I5:L5"/>
    <mergeCell ref="M5:P5"/>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7817B-BB01-4DF8-A5F7-EAD7B91630A4}">
  <sheetPr>
    <tabColor theme="9" tint="0.59999389629810485"/>
  </sheetPr>
  <dimension ref="A1:G61"/>
  <sheetViews>
    <sheetView workbookViewId="0">
      <selection activeCell="E64" sqref="E64"/>
    </sheetView>
  </sheetViews>
  <sheetFormatPr defaultRowHeight="15" x14ac:dyDescent="0.25"/>
  <cols>
    <col min="1" max="1" width="20.5703125" style="25" customWidth="1"/>
    <col min="2" max="2" width="21.85546875" style="25" customWidth="1"/>
    <col min="3" max="3" width="29.5703125" style="25" customWidth="1"/>
    <col min="4" max="4" width="13.140625" style="25" customWidth="1"/>
    <col min="5" max="5" width="25.42578125" style="81" customWidth="1"/>
    <col min="6" max="6" width="25.42578125" customWidth="1"/>
    <col min="7" max="7" width="11.5703125" customWidth="1"/>
  </cols>
  <sheetData>
    <row r="1" spans="1:7" x14ac:dyDescent="0.25">
      <c r="A1" s="59" t="s">
        <v>107</v>
      </c>
    </row>
    <row r="2" spans="1:7" x14ac:dyDescent="0.25">
      <c r="A2" s="28" t="s">
        <v>108</v>
      </c>
    </row>
    <row r="4" spans="1:7" ht="30" x14ac:dyDescent="0.25">
      <c r="A4" s="116" t="s">
        <v>614</v>
      </c>
      <c r="B4" s="43" t="s">
        <v>364</v>
      </c>
      <c r="C4" s="43" t="s">
        <v>780</v>
      </c>
      <c r="D4" s="43" t="s">
        <v>758</v>
      </c>
    </row>
    <row r="5" spans="1:7" x14ac:dyDescent="0.25">
      <c r="A5" s="25" t="s">
        <v>168</v>
      </c>
      <c r="B5" s="44">
        <f>_xlfn.XLOOKUP(A5,'Change in state retail prices'!A:A,'Change in state retail prices'!K:K,"Not found")</f>
        <v>2.5019847656946013</v>
      </c>
      <c r="C5" s="49">
        <v>0.37273688818613854</v>
      </c>
      <c r="D5" s="84">
        <f>_xlfn.XLOOKUP(A5,'State growth in retail sales'!A:A,'State growth in retail sales'!H:H,"Not found")/1000</f>
        <v>27.57</v>
      </c>
      <c r="G5" s="72"/>
    </row>
    <row r="6" spans="1:7" x14ac:dyDescent="0.25">
      <c r="A6" s="25" t="s">
        <v>169</v>
      </c>
      <c r="B6" s="44">
        <f>_xlfn.XLOOKUP(A6,'Change in state retail prices'!A:A,'Change in state retail prices'!K:K,"Not found")</f>
        <v>5.3705930391399868</v>
      </c>
      <c r="C6" s="49">
        <v>3.8576053135260828E-3</v>
      </c>
      <c r="D6" s="84">
        <f>_xlfn.XLOOKUP(A6,'State growth in retail sales'!A:A,'State growth in retail sales'!H:H,"Not found")/1000</f>
        <v>11.037000000000001</v>
      </c>
    </row>
    <row r="7" spans="1:7" x14ac:dyDescent="0.25">
      <c r="A7" s="25" t="s">
        <v>170</v>
      </c>
      <c r="B7" s="44">
        <f>_xlfn.XLOOKUP(A7,'Change in state retail prices'!A:A,'Change in state retail prices'!K:K,"Not found")</f>
        <v>2.7049367464512706</v>
      </c>
      <c r="C7" s="49">
        <v>1.3160121868652674E-2</v>
      </c>
      <c r="D7" s="84">
        <f>_xlfn.XLOOKUP(A7,'State growth in retail sales'!A:A,'State growth in retail sales'!H:H,"Not found")/1000</f>
        <v>51.741</v>
      </c>
    </row>
    <row r="8" spans="1:7" x14ac:dyDescent="0.25">
      <c r="A8" s="25" t="s">
        <v>171</v>
      </c>
      <c r="B8" s="44">
        <f>_xlfn.XLOOKUP(A8,'Change in state retail prices'!A:A,'Change in state retail prices'!K:K,"Not found")</f>
        <v>0.28759050008909171</v>
      </c>
      <c r="C8" s="49">
        <v>0.5860029568230225</v>
      </c>
      <c r="D8" s="84">
        <f>_xlfn.XLOOKUP(A8,'State growth in retail sales'!A:A,'State growth in retail sales'!H:H,"Not found")/1000</f>
        <v>11.103999999999999</v>
      </c>
    </row>
    <row r="9" spans="1:7" x14ac:dyDescent="0.25">
      <c r="A9" s="25" t="s">
        <v>172</v>
      </c>
      <c r="B9" s="44">
        <f>_xlfn.XLOOKUP(A9,'Change in state retail prices'!A:A,'Change in state retail prices'!K:K,"Not found")</f>
        <v>2.893145676189345</v>
      </c>
      <c r="C9" s="49">
        <v>0</v>
      </c>
      <c r="D9" s="84">
        <f>_xlfn.XLOOKUP(A9,'State growth in retail sales'!A:A,'State growth in retail sales'!H:H,"Not found")/1000</f>
        <v>7.4039999999999999</v>
      </c>
    </row>
    <row r="10" spans="1:7" x14ac:dyDescent="0.25">
      <c r="A10" s="25" t="s">
        <v>173</v>
      </c>
      <c r="B10" s="44">
        <f>_xlfn.XLOOKUP(A10,'Change in state retail prices'!A:A,'Change in state retail prices'!K:K,"Not found")</f>
        <v>0.31099067529845215</v>
      </c>
      <c r="C10" s="49">
        <v>0</v>
      </c>
      <c r="D10" s="84">
        <f>_xlfn.XLOOKUP(A10,'State growth in retail sales'!A:A,'State growth in retail sales'!H:H,"Not found")/1000</f>
        <v>5.4729999999999999</v>
      </c>
    </row>
    <row r="11" spans="1:7" x14ac:dyDescent="0.25">
      <c r="A11" s="25" t="s">
        <v>175</v>
      </c>
      <c r="B11" s="44">
        <f>_xlfn.XLOOKUP(A11,'Change in state retail prices'!A:A,'Change in state retail prices'!K:K,"Not found")</f>
        <v>2.170709300944349</v>
      </c>
      <c r="C11" s="49">
        <v>0.42535326392319328</v>
      </c>
      <c r="D11" s="84">
        <f>_xlfn.XLOOKUP(A11,'State growth in retail sales'!A:A,'State growth in retail sales'!H:H,"Not found")/1000</f>
        <v>73.063999999999993</v>
      </c>
    </row>
    <row r="12" spans="1:7" x14ac:dyDescent="0.25">
      <c r="A12" s="25" t="s">
        <v>176</v>
      </c>
      <c r="B12" s="44">
        <f>_xlfn.XLOOKUP(A12,'Change in state retail prices'!A:A,'Change in state retail prices'!K:K,"Not found")</f>
        <v>3.8079561382669134</v>
      </c>
      <c r="C12" s="49">
        <v>0.24434012154146867</v>
      </c>
      <c r="D12" s="84">
        <f>_xlfn.XLOOKUP(A12,'State growth in retail sales'!A:A,'State growth in retail sales'!H:H,"Not found")/1000</f>
        <v>143.49</v>
      </c>
    </row>
    <row r="13" spans="1:7" x14ac:dyDescent="0.25">
      <c r="A13" s="25" t="s">
        <v>177</v>
      </c>
      <c r="B13" s="44">
        <f>_xlfn.XLOOKUP(A13,'Change in state retail prices'!A:A,'Change in state retail prices'!K:K,"Not found")</f>
        <v>1.9247733414503756</v>
      </c>
      <c r="C13" s="49">
        <v>0.41756277080001636</v>
      </c>
      <c r="D13" s="84">
        <f>_xlfn.XLOOKUP(A13,'State growth in retail sales'!A:A,'State growth in retail sales'!H:H,"Not found")/1000</f>
        <v>143.31700000000001</v>
      </c>
    </row>
    <row r="14" spans="1:7" x14ac:dyDescent="0.25">
      <c r="A14" s="25" t="s">
        <v>179</v>
      </c>
      <c r="B14" s="44">
        <f>_xlfn.XLOOKUP(A14,'Change in state retail prices'!A:A,'Change in state retail prices'!K:K,"Not found")</f>
        <v>1.741230233497074</v>
      </c>
      <c r="C14" s="49">
        <v>0.72855462504929203</v>
      </c>
      <c r="D14" s="84">
        <f>_xlfn.XLOOKUP(A14,'State growth in retail sales'!A:A,'State growth in retail sales'!H:H,"Not found")/1000</f>
        <v>135.39500000000001</v>
      </c>
    </row>
    <row r="15" spans="1:7" x14ac:dyDescent="0.25">
      <c r="A15" s="25" t="s">
        <v>180</v>
      </c>
      <c r="B15" s="44">
        <f>_xlfn.XLOOKUP(A15,'Change in state retail prices'!A:A,'Change in state retail prices'!K:K,"Not found")</f>
        <v>0.1319447294933056</v>
      </c>
      <c r="C15" s="49">
        <v>0.50532623529829412</v>
      </c>
      <c r="D15" s="84">
        <f>_xlfn.XLOOKUP(A15,'State growth in retail sales'!A:A,'State growth in retail sales'!H:H,"Not found")/1000</f>
        <v>103.48699999999999</v>
      </c>
    </row>
    <row r="16" spans="1:7" x14ac:dyDescent="0.25">
      <c r="A16" s="25" t="s">
        <v>181</v>
      </c>
      <c r="B16" s="44">
        <f>_xlfn.XLOOKUP(A16,'Change in state retail prices'!A:A,'Change in state retail prices'!K:K,"Not found")</f>
        <v>0.22102735347554159</v>
      </c>
      <c r="C16" s="49">
        <v>0.50926719648828844</v>
      </c>
      <c r="D16" s="84">
        <f>_xlfn.XLOOKUP(A16,'State growth in retail sales'!A:A,'State growth in retail sales'!H:H,"Not found")/1000</f>
        <v>100.11799999999999</v>
      </c>
    </row>
    <row r="17" spans="1:5" x14ac:dyDescent="0.25">
      <c r="A17" s="25" t="s">
        <v>182</v>
      </c>
      <c r="B17" s="44">
        <f>_xlfn.XLOOKUP(A17,'Change in state retail prices'!A:A,'Change in state retail prices'!K:K,"Not found")</f>
        <v>0.40612820469685751</v>
      </c>
      <c r="C17" s="49">
        <v>0.43261221483868184</v>
      </c>
      <c r="D17" s="84">
        <f>_xlfn.XLOOKUP(A17,'State growth in retail sales'!A:A,'State growth in retail sales'!H:H,"Not found")/1000</f>
        <v>161.934</v>
      </c>
    </row>
    <row r="18" spans="1:5" x14ac:dyDescent="0.25">
      <c r="A18" s="25" t="s">
        <v>185</v>
      </c>
      <c r="B18" s="44">
        <f>_xlfn.XLOOKUP(A18,'Change in state retail prices'!A:A,'Change in state retail prices'!K:K,"Not found")</f>
        <v>-2.9381350514769977E-2</v>
      </c>
      <c r="C18" s="49">
        <v>0.5262735055918234</v>
      </c>
      <c r="D18" s="84">
        <f>_xlfn.XLOOKUP(A18,'State growth in retail sales'!A:A,'State growth in retail sales'!H:H,"Not found")/1000</f>
        <v>70.180000000000007</v>
      </c>
    </row>
    <row r="19" spans="1:5" x14ac:dyDescent="0.25">
      <c r="A19" s="25" t="s">
        <v>191</v>
      </c>
      <c r="B19" s="44">
        <f>_xlfn.XLOOKUP(A19,'Change in state retail prices'!A:A,'Change in state retail prices'!K:K,"Not found")</f>
        <v>-1.6363210752977579</v>
      </c>
      <c r="C19" s="49">
        <v>0.28426943252171138</v>
      </c>
      <c r="D19" s="84">
        <f>_xlfn.XLOOKUP(A19,'State growth in retail sales'!A:A,'State growth in retail sales'!H:H,"Not found")/1000</f>
        <v>58.567999999999998</v>
      </c>
    </row>
    <row r="20" spans="1:5" x14ac:dyDescent="0.25">
      <c r="A20" s="25" t="s">
        <v>193</v>
      </c>
      <c r="B20" s="44">
        <f>_xlfn.XLOOKUP(A20,'Change in state retail prices'!A:A,'Change in state retail prices'!K:K,"Not found")</f>
        <v>-1.3573407745104635</v>
      </c>
      <c r="C20" s="49">
        <v>0.46859228606188036</v>
      </c>
      <c r="D20" s="84">
        <f>_xlfn.XLOOKUP(A20,'State growth in retail sales'!A:A,'State growth in retail sales'!H:H,"Not found")/1000</f>
        <v>41.970999999999997</v>
      </c>
    </row>
    <row r="21" spans="1:5" x14ac:dyDescent="0.25">
      <c r="A21" s="25" t="s">
        <v>195</v>
      </c>
      <c r="B21" s="44">
        <f>_xlfn.XLOOKUP(A21,'Change in state retail prices'!A:A,'Change in state retail prices'!K:K,"Not found")</f>
        <v>-0.29519787531121722</v>
      </c>
      <c r="C21" s="49">
        <v>0.47660392390333206</v>
      </c>
      <c r="D21" s="84">
        <f>_xlfn.XLOOKUP(A21,'State growth in retail sales'!A:A,'State growth in retail sales'!H:H,"Not found")/1000</f>
        <v>65.738</v>
      </c>
    </row>
    <row r="22" spans="1:5" x14ac:dyDescent="0.25">
      <c r="A22" s="25" t="s">
        <v>196</v>
      </c>
      <c r="B22" s="44">
        <f>_xlfn.XLOOKUP(A22,'Change in state retail prices'!A:A,'Change in state retail prices'!K:K,"Not found")</f>
        <v>-0.57938193930421811</v>
      </c>
      <c r="C22" s="49">
        <v>0.77284143780357495</v>
      </c>
      <c r="D22" s="84">
        <f>_xlfn.XLOOKUP(A22,'State growth in retail sales'!A:A,'State growth in retail sales'!H:H,"Not found")/1000</f>
        <v>80.114000000000004</v>
      </c>
    </row>
    <row r="23" spans="1:5" x14ac:dyDescent="0.25">
      <c r="A23" s="25" t="s">
        <v>199</v>
      </c>
      <c r="B23" s="44">
        <f>_xlfn.XLOOKUP(A23,'Change in state retail prices'!A:A,'Change in state retail prices'!K:K,"Not found")</f>
        <v>-1.846321075297757</v>
      </c>
      <c r="C23" s="49">
        <v>0.65377512767308532</v>
      </c>
      <c r="D23" s="84">
        <f>_xlfn.XLOOKUP(A23,'State growth in retail sales'!A:A,'State growth in retail sales'!H:H,"Not found")/1000</f>
        <v>37.624000000000002</v>
      </c>
    </row>
    <row r="24" spans="1:5" x14ac:dyDescent="0.25">
      <c r="A24" s="25" t="s">
        <v>201</v>
      </c>
      <c r="B24" s="44">
        <f>_xlfn.XLOOKUP(A24,'Change in state retail prices'!A:A,'Change in state retail prices'!K:K,"Not found")</f>
        <v>-2.9076477440952821</v>
      </c>
      <c r="C24" s="49">
        <v>0.5613474566833706</v>
      </c>
      <c r="D24" s="84">
        <f>_xlfn.XLOOKUP(A24,'State growth in retail sales'!A:A,'State growth in retail sales'!H:H,"Not found")/1000</f>
        <v>30.338999999999999</v>
      </c>
    </row>
    <row r="25" spans="1:5" x14ac:dyDescent="0.25">
      <c r="A25" s="25" t="s">
        <v>203</v>
      </c>
      <c r="B25" s="44">
        <f>_xlfn.XLOOKUP(A25,'Change in state retail prices'!A:A,'Change in state retail prices'!K:K,"Not found")</f>
        <v>-1.1508103425072349</v>
      </c>
      <c r="C25" s="49">
        <v>0.10741557131944744</v>
      </c>
      <c r="D25" s="84">
        <f>_xlfn.XLOOKUP(A25,'State growth in retail sales'!A:A,'State growth in retail sales'!H:H,"Not found")/1000</f>
        <v>13.813000000000001</v>
      </c>
    </row>
    <row r="26" spans="1:5" x14ac:dyDescent="0.25">
      <c r="A26" s="25" t="s">
        <v>207</v>
      </c>
      <c r="B26" s="44">
        <f>_xlfn.XLOOKUP(A26,'Change in state retail prices'!A:A,'Change in state retail prices'!K:K,"Not found")</f>
        <v>0.86204661644975822</v>
      </c>
      <c r="C26" s="49">
        <v>2.7971307385028399E-2</v>
      </c>
      <c r="D26" s="84">
        <f>_xlfn.XLOOKUP(A26,'State growth in retail sales'!A:A,'State growth in retail sales'!H:H,"Not found")/1000</f>
        <v>11.577999999999999</v>
      </c>
    </row>
    <row r="27" spans="1:5" x14ac:dyDescent="0.25">
      <c r="A27" s="25" t="s">
        <v>208</v>
      </c>
      <c r="B27" s="44">
        <f>_xlfn.XLOOKUP(A27,'Change in state retail prices'!A:A,'Change in state retail prices'!K:K,"Not found")</f>
        <v>4.794944104927616</v>
      </c>
      <c r="C27" s="49">
        <v>0</v>
      </c>
      <c r="D27" s="84">
        <f>_xlfn.XLOOKUP(A27,'State growth in retail sales'!A:A,'State growth in retail sales'!H:H,"Not found")/1000</f>
        <v>10.241</v>
      </c>
    </row>
    <row r="28" spans="1:5" x14ac:dyDescent="0.25">
      <c r="A28" s="25" t="s">
        <v>209</v>
      </c>
      <c r="B28" s="44">
        <f>_xlfn.XLOOKUP(A28,'Change in state retail prices'!A:A,'Change in state retail prices'!K:K,"Not found")</f>
        <v>0.1133998741193416</v>
      </c>
      <c r="C28" s="49">
        <v>0.17138575024679664</v>
      </c>
      <c r="D28" s="84">
        <f>_xlfn.XLOOKUP(A28,'State growth in retail sales'!A:A,'State growth in retail sales'!H:H,"Not found")/1000</f>
        <v>257.88900000000001</v>
      </c>
    </row>
    <row r="29" spans="1:5" x14ac:dyDescent="0.25">
      <c r="A29" s="25" t="s">
        <v>210</v>
      </c>
      <c r="B29" s="44">
        <f>_xlfn.XLOOKUP(A29,'Change in state retail prices'!A:A,'Change in state retail prices'!K:K,"Not found")</f>
        <v>-0.46178900777617748</v>
      </c>
      <c r="C29" s="49">
        <v>0.43438010746037475</v>
      </c>
      <c r="D29" s="84">
        <f>_xlfn.XLOOKUP(A29,'State growth in retail sales'!A:A,'State growth in retail sales'!H:H,"Not found")/1000</f>
        <v>153.566</v>
      </c>
    </row>
    <row r="30" spans="1:5" ht="18" customHeight="1" x14ac:dyDescent="0.25">
      <c r="A30" s="25" t="s">
        <v>211</v>
      </c>
      <c r="B30" s="44">
        <f>_xlfn.XLOOKUP(A30,'Change in state retail prices'!A:A,'Change in state retail prices'!K:K,"Not found")</f>
        <v>2.5898672974235044</v>
      </c>
      <c r="C30" s="49">
        <v>0.48275054216708685</v>
      </c>
      <c r="D30" s="84">
        <f>_xlfn.XLOOKUP(A30,'State growth in retail sales'!A:A,'State growth in retail sales'!H:H,"Not found")/1000</f>
        <v>59.503</v>
      </c>
      <c r="E30" s="118"/>
    </row>
    <row r="31" spans="1:5" x14ac:dyDescent="0.25">
      <c r="A31" s="25" t="s">
        <v>212</v>
      </c>
      <c r="B31" s="44">
        <f>_xlfn.XLOOKUP(A31,'Change in state retail prices'!A:A,'Change in state retail prices'!K:K,"Not found")</f>
        <v>-0.44235356221956224</v>
      </c>
      <c r="C31" s="49">
        <v>0.47230539646872555</v>
      </c>
      <c r="D31" s="84">
        <f>_xlfn.XLOOKUP(A31,'State growth in retail sales'!A:A,'State growth in retail sales'!H:H,"Not found")/1000</f>
        <v>140.584</v>
      </c>
    </row>
    <row r="32" spans="1:5" x14ac:dyDescent="0.25">
      <c r="A32" s="25" t="s">
        <v>213</v>
      </c>
      <c r="B32" s="44">
        <f>_xlfn.XLOOKUP(A32,'Change in state retail prices'!A:A,'Change in state retail prices'!K:K,"Not found")</f>
        <v>-1.2444955231153454</v>
      </c>
      <c r="C32" s="49">
        <v>0.69754144259357076</v>
      </c>
      <c r="D32" s="84">
        <f>_xlfn.XLOOKUP(A32,'State growth in retail sales'!A:A,'State growth in retail sales'!H:H,"Not found")/1000</f>
        <v>85.619</v>
      </c>
    </row>
    <row r="33" spans="1:4" x14ac:dyDescent="0.25">
      <c r="A33" s="25" t="s">
        <v>214</v>
      </c>
      <c r="B33" s="44">
        <f>_xlfn.XLOOKUP(A33,'Change in state retail prices'!A:A,'Change in state retail prices'!K:K,"Not found")</f>
        <v>-0.65103766268044616</v>
      </c>
      <c r="C33" s="49">
        <v>0.32743116397260458</v>
      </c>
      <c r="D33" s="84">
        <f>_xlfn.XLOOKUP(A33,'State growth in retail sales'!A:A,'State growth in retail sales'!H:H,"Not found")/1000</f>
        <v>144.67400000000001</v>
      </c>
    </row>
    <row r="34" spans="1:4" x14ac:dyDescent="0.25">
      <c r="A34" s="25" t="s">
        <v>215</v>
      </c>
      <c r="B34" s="44">
        <f>_xlfn.XLOOKUP(A34,'Change in state retail prices'!A:A,'Change in state retail prices'!K:K,"Not found")</f>
        <v>0.64388552981544223</v>
      </c>
      <c r="C34" s="49">
        <v>0.88161691346724147</v>
      </c>
      <c r="D34" s="84">
        <f>_xlfn.XLOOKUP(A34,'State growth in retail sales'!A:A,'State growth in retail sales'!H:H,"Not found")/1000</f>
        <v>33.683</v>
      </c>
    </row>
    <row r="35" spans="1:4" x14ac:dyDescent="0.25">
      <c r="A35" s="25" t="s">
        <v>217</v>
      </c>
      <c r="B35" s="44">
        <f>_xlfn.XLOOKUP(A35,'Change in state retail prices'!A:A,'Change in state retail prices'!K:K,"Not found")</f>
        <v>0.16621846384991557</v>
      </c>
      <c r="C35" s="49">
        <v>0.47492776071941906</v>
      </c>
      <c r="D35" s="84">
        <f>_xlfn.XLOOKUP(A35,'State growth in retail sales'!A:A,'State growth in retail sales'!H:H,"Not found")/1000</f>
        <v>89.221000000000004</v>
      </c>
    </row>
    <row r="36" spans="1:4" x14ac:dyDescent="0.25">
      <c r="A36" s="25" t="s">
        <v>218</v>
      </c>
      <c r="B36" s="44">
        <f>_xlfn.XLOOKUP(A36,'Change in state retail prices'!A:A,'Change in state retail prices'!K:K,"Not found")</f>
        <v>-0.35814435668893374</v>
      </c>
      <c r="C36" s="49">
        <v>0.68719927552065241</v>
      </c>
      <c r="D36" s="84">
        <f>_xlfn.XLOOKUP(A36,'State growth in retail sales'!A:A,'State growth in retail sales'!H:H,"Not found")/1000</f>
        <v>75.918999999999997</v>
      </c>
    </row>
    <row r="37" spans="1:4" x14ac:dyDescent="0.25">
      <c r="A37" s="25" t="s">
        <v>219</v>
      </c>
      <c r="B37" s="44">
        <f>_xlfn.XLOOKUP(A37,'Change in state retail prices'!A:A,'Change in state retail prices'!K:K,"Not found")</f>
        <v>-0.18697788967169515</v>
      </c>
      <c r="C37" s="49">
        <v>0.20908882590878419</v>
      </c>
      <c r="D37" s="84">
        <f>_xlfn.XLOOKUP(A37,'State growth in retail sales'!A:A,'State growth in retail sales'!H:H,"Not found")/1000</f>
        <v>49.610999999999997</v>
      </c>
    </row>
    <row r="38" spans="1:4" x14ac:dyDescent="0.25">
      <c r="A38" s="25" t="s">
        <v>220</v>
      </c>
      <c r="B38" s="44">
        <f>_xlfn.XLOOKUP(A38,'Change in state retail prices'!A:A,'Change in state retail prices'!K:K,"Not found")</f>
        <v>-0.70641333522831218</v>
      </c>
      <c r="C38" s="49">
        <v>0.65754119102642183</v>
      </c>
      <c r="D38" s="84">
        <f>_xlfn.XLOOKUP(A38,'State growth in retail sales'!A:A,'State growth in retail sales'!H:H,"Not found")/1000</f>
        <v>106.55200000000001</v>
      </c>
    </row>
    <row r="39" spans="1:4" x14ac:dyDescent="0.25">
      <c r="A39" s="25" t="s">
        <v>222</v>
      </c>
      <c r="B39" s="44">
        <f>_xlfn.XLOOKUP(A39,'Change in state retail prices'!A:A,'Change in state retail prices'!K:K,"Not found")</f>
        <v>-0.57404722554971421</v>
      </c>
      <c r="C39" s="49">
        <v>0.53492596645441393</v>
      </c>
      <c r="D39" s="84">
        <f>_xlfn.XLOOKUP(A39,'State growth in retail sales'!A:A,'State growth in retail sales'!H:H,"Not found")/1000</f>
        <v>52.963000000000001</v>
      </c>
    </row>
    <row r="40" spans="1:4" x14ac:dyDescent="0.25">
      <c r="A40" s="25" t="s">
        <v>223</v>
      </c>
      <c r="B40" s="44">
        <f>_xlfn.XLOOKUP(A40,'Change in state retail prices'!A:A,'Change in state retail prices'!K:K,"Not found")</f>
        <v>-0.26792020790611737</v>
      </c>
      <c r="C40" s="49">
        <v>0.20898946873652877</v>
      </c>
      <c r="D40" s="84">
        <f>_xlfn.XLOOKUP(A40,'State growth in retail sales'!A:A,'State growth in retail sales'!H:H,"Not found")/1000</f>
        <v>98.075000000000003</v>
      </c>
    </row>
    <row r="41" spans="1:4" x14ac:dyDescent="0.25">
      <c r="A41" s="25" t="s">
        <v>224</v>
      </c>
      <c r="B41" s="44">
        <f>_xlfn.XLOOKUP(A41,'Change in state retail prices'!A:A,'Change in state retail prices'!K:K,"Not found")</f>
        <v>-0.45795756603658688</v>
      </c>
      <c r="C41" s="49">
        <v>9.0444588055945144E-2</v>
      </c>
      <c r="D41" s="84">
        <f>_xlfn.XLOOKUP(A41,'State growth in retail sales'!A:A,'State growth in retail sales'!H:H,"Not found")/1000</f>
        <v>75.114999999999995</v>
      </c>
    </row>
    <row r="42" spans="1:4" x14ac:dyDescent="0.25">
      <c r="A42" s="25" t="s">
        <v>225</v>
      </c>
      <c r="B42" s="44">
        <f>_xlfn.XLOOKUP(A42,'Change in state retail prices'!A:A,'Change in state retail prices'!K:K,"Not found")</f>
        <v>-0.71547519948023464</v>
      </c>
      <c r="C42" s="49">
        <v>0.22942065863187064</v>
      </c>
      <c r="D42" s="84">
        <f>_xlfn.XLOOKUP(A42,'State growth in retail sales'!A:A,'State growth in retail sales'!H:H,"Not found")/1000</f>
        <v>519.70000000000005</v>
      </c>
    </row>
    <row r="43" spans="1:4" x14ac:dyDescent="0.25">
      <c r="A43" s="25" t="s">
        <v>227</v>
      </c>
      <c r="B43" s="44">
        <f>_xlfn.XLOOKUP(A43,'Change in state retail prices'!A:A,'Change in state retail prices'!K:K,"Not found")</f>
        <v>-0.33224523765488989</v>
      </c>
      <c r="C43" s="49">
        <v>0.39398786212938303</v>
      </c>
      <c r="D43" s="84">
        <f>_xlfn.XLOOKUP(A43,'State growth in retail sales'!A:A,'State growth in retail sales'!H:H,"Not found")/1000</f>
        <v>91.552000000000007</v>
      </c>
    </row>
    <row r="44" spans="1:4" x14ac:dyDescent="0.25">
      <c r="A44" s="25" t="s">
        <v>228</v>
      </c>
      <c r="B44" s="44">
        <f>_xlfn.XLOOKUP(A44,'Change in state retail prices'!A:A,'Change in state retail prices'!K:K,"Not found")</f>
        <v>-8.9680044386906133E-2</v>
      </c>
      <c r="C44" s="49">
        <v>0.34261939451434398</v>
      </c>
      <c r="D44" s="84">
        <f>_xlfn.XLOOKUP(A44,'State growth in retail sales'!A:A,'State growth in retail sales'!H:H,"Not found")/1000</f>
        <v>56.652000000000001</v>
      </c>
    </row>
    <row r="45" spans="1:4" x14ac:dyDescent="0.25">
      <c r="A45" s="25" t="s">
        <v>229</v>
      </c>
      <c r="B45" s="44">
        <f>_xlfn.XLOOKUP(A45,'Change in state retail prices'!A:A,'Change in state retail prices'!K:K,"Not found")</f>
        <v>-0.23668392824116857</v>
      </c>
      <c r="C45" s="49">
        <v>5.1011264658257661E-4</v>
      </c>
      <c r="D45" s="84">
        <f>_xlfn.XLOOKUP(A45,'State growth in retail sales'!A:A,'State growth in retail sales'!H:H,"Not found")/1000</f>
        <v>26.8</v>
      </c>
    </row>
    <row r="46" spans="1:4" x14ac:dyDescent="0.25">
      <c r="A46" s="25" t="s">
        <v>230</v>
      </c>
      <c r="B46" s="44">
        <f>_xlfn.XLOOKUP(A46,'Change in state retail prices'!A:A,'Change in state retail prices'!K:K,"Not found")</f>
        <v>-0.50553726650637998</v>
      </c>
      <c r="C46" s="49">
        <v>0.41074312841642108</v>
      </c>
      <c r="D46" s="84">
        <f>_xlfn.XLOOKUP(A46,'State growth in retail sales'!A:A,'State growth in retail sales'!H:H,"Not found")/1000</f>
        <v>15.371</v>
      </c>
    </row>
    <row r="47" spans="1:4" x14ac:dyDescent="0.25">
      <c r="A47" s="25" t="s">
        <v>231</v>
      </c>
      <c r="B47" s="44">
        <f>_xlfn.XLOOKUP(A47,'Change in state retail prices'!A:A,'Change in state retail prices'!K:K,"Not found")</f>
        <v>-0.79206399112261572</v>
      </c>
      <c r="C47" s="49">
        <v>5.5956013837715958E-2</v>
      </c>
      <c r="D47" s="84">
        <f>_xlfn.XLOOKUP(A47,'State growth in retail sales'!A:A,'State growth in retail sales'!H:H,"Not found")/1000</f>
        <v>39.845999999999997</v>
      </c>
    </row>
    <row r="48" spans="1:4" x14ac:dyDescent="0.25">
      <c r="A48" s="25" t="s">
        <v>232</v>
      </c>
      <c r="B48" s="44">
        <f>_xlfn.XLOOKUP(A48,'Change in state retail prices'!A:A,'Change in state retail prices'!K:K,"Not found")</f>
        <v>-1.8076031070834109</v>
      </c>
      <c r="C48" s="49">
        <v>0.29352641216077796</v>
      </c>
      <c r="D48" s="84">
        <f>_xlfn.XLOOKUP(A48,'State growth in retail sales'!A:A,'State growth in retail sales'!H:H,"Not found")/1000</f>
        <v>31.577999999999999</v>
      </c>
    </row>
    <row r="49" spans="1:4" x14ac:dyDescent="0.25">
      <c r="A49" s="25" t="s">
        <v>233</v>
      </c>
      <c r="B49" s="44">
        <f>_xlfn.XLOOKUP(A49,'Change in state retail prices'!A:A,'Change in state retail prices'!K:K,"Not found")</f>
        <v>0.25075087849084632</v>
      </c>
      <c r="C49" s="49">
        <v>0.53914336268077556</v>
      </c>
      <c r="D49" s="84">
        <f>_xlfn.XLOOKUP(A49,'State growth in retail sales'!A:A,'State growth in retail sales'!H:H,"Not found")/1000</f>
        <v>35.073999999999998</v>
      </c>
    </row>
    <row r="50" spans="1:4" x14ac:dyDescent="0.25">
      <c r="A50" s="25" t="s">
        <v>234</v>
      </c>
      <c r="B50" s="44">
        <f>_xlfn.XLOOKUP(A50,'Change in state retail prices'!A:A,'Change in state retail prices'!K:K,"Not found")</f>
        <v>-0.49222304420196039</v>
      </c>
      <c r="C50" s="49">
        <v>0.71272316863778207</v>
      </c>
      <c r="D50" s="84">
        <f>_xlfn.XLOOKUP(A50,'State growth in retail sales'!A:A,'State growth in retail sales'!H:H,"Not found")/1000</f>
        <v>17.335999999999999</v>
      </c>
    </row>
    <row r="51" spans="1:4" x14ac:dyDescent="0.25">
      <c r="A51" s="25" t="s">
        <v>236</v>
      </c>
      <c r="B51" s="44">
        <f>_xlfn.XLOOKUP(A51,'Change in state retail prices'!A:A,'Change in state retail prices'!K:K,"Not found")</f>
        <v>6.2730682448677619</v>
      </c>
      <c r="C51" s="49">
        <v>7.6141460286425391E-2</v>
      </c>
      <c r="D51" s="84">
        <f>_xlfn.XLOOKUP(A51,'State growth in retail sales'!A:A,'State growth in retail sales'!H:H,"Not found")/1000</f>
        <v>237.95699999999999</v>
      </c>
    </row>
    <row r="52" spans="1:4" x14ac:dyDescent="0.25">
      <c r="A52" s="25" t="s">
        <v>237</v>
      </c>
      <c r="B52" s="44">
        <f>_xlfn.XLOOKUP(A52,'Change in state retail prices'!A:A,'Change in state retail prices'!K:K,"Not found")</f>
        <v>0.37000184945440928</v>
      </c>
      <c r="C52" s="49">
        <v>9.5185231535318184E-3</v>
      </c>
      <c r="D52" s="84">
        <f>_xlfn.XLOOKUP(A52,'State growth in retail sales'!A:A,'State growth in retail sales'!H:H,"Not found")/1000</f>
        <v>61.567</v>
      </c>
    </row>
    <row r="53" spans="1:4" x14ac:dyDescent="0.25">
      <c r="A53" s="25" t="s">
        <v>238</v>
      </c>
      <c r="B53" s="44">
        <f>_xlfn.XLOOKUP(A53,'Change in state retail prices'!A:A,'Change in state retail prices'!K:K,"Not found")</f>
        <v>0.89364527464398158</v>
      </c>
      <c r="C53" s="49">
        <v>0.12091159134004069</v>
      </c>
      <c r="D53" s="84">
        <f>_xlfn.XLOOKUP(A53,'State growth in retail sales'!A:A,'State growth in retail sales'!H:H,"Not found")/1000</f>
        <v>91.043999999999997</v>
      </c>
    </row>
    <row r="54" spans="1:4" x14ac:dyDescent="0.25">
      <c r="A54" s="25" t="s">
        <v>240</v>
      </c>
      <c r="B54" s="44">
        <f>_xlfn.XLOOKUP(A54,'Change in state retail prices'!A:A,'Change in state retail prices'!K:K,"Not found")</f>
        <v>-2.5176234510819278</v>
      </c>
      <c r="C54" s="49">
        <v>0.11320447688576638</v>
      </c>
      <c r="D54" s="84">
        <f>_xlfn.XLOOKUP(A54,'State growth in retail sales'!A:A,'State growth in retail sales'!H:H,"Not found")/1000</f>
        <v>6.1180000000000003</v>
      </c>
    </row>
    <row r="55" spans="1:4" x14ac:dyDescent="0.25">
      <c r="A55" s="25" t="s">
        <v>241</v>
      </c>
      <c r="B55" s="44">
        <f>_xlfn.XLOOKUP(A55,'Change in state retail prices'!A:A,'Change in state retail prices'!K:K,"Not found")</f>
        <v>-0.59563528759016293</v>
      </c>
      <c r="C55" s="49">
        <v>5.6835181013487265E-2</v>
      </c>
      <c r="D55" s="84">
        <f>_xlfn.XLOOKUP(A55,'State growth in retail sales'!A:A,'State growth in retail sales'!H:H,"Not found")/1000</f>
        <v>9.1370000000000005</v>
      </c>
    </row>
    <row r="58" spans="1:4" x14ac:dyDescent="0.25">
      <c r="A58" s="114" t="s">
        <v>197</v>
      </c>
      <c r="B58" s="28" t="s">
        <v>356</v>
      </c>
    </row>
    <row r="59" spans="1:4" x14ac:dyDescent="0.25">
      <c r="A59" s="114"/>
      <c r="B59" s="28" t="s">
        <v>367</v>
      </c>
    </row>
    <row r="60" spans="1:4" x14ac:dyDescent="0.25">
      <c r="B60" s="28"/>
    </row>
    <row r="61" spans="1:4" x14ac:dyDescent="0.25">
      <c r="A61" s="114" t="s">
        <v>205</v>
      </c>
      <c r="B61" s="28" t="s">
        <v>761</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13827-D307-438B-A0EB-F3A35A7C5F98}">
  <sheetPr>
    <tabColor theme="9" tint="0.59999389629810485"/>
  </sheetPr>
  <dimension ref="A1:G62"/>
  <sheetViews>
    <sheetView workbookViewId="0">
      <selection activeCell="B27" sqref="B27"/>
    </sheetView>
  </sheetViews>
  <sheetFormatPr defaultRowHeight="15" x14ac:dyDescent="0.25"/>
  <cols>
    <col min="1" max="1" width="20.5703125" style="25" customWidth="1"/>
    <col min="2" max="2" width="21.85546875" style="25" customWidth="1"/>
    <col min="3" max="3" width="28.5703125" style="25" customWidth="1"/>
    <col min="4" max="4" width="21.5703125" style="25" customWidth="1"/>
    <col min="5" max="5" width="13.140625" style="25" customWidth="1"/>
    <col min="6" max="6" width="25.42578125" style="81" customWidth="1"/>
    <col min="7" max="7" width="25.42578125" customWidth="1"/>
    <col min="8" max="8" width="11.5703125" customWidth="1"/>
  </cols>
  <sheetData>
    <row r="1" spans="1:7" x14ac:dyDescent="0.25">
      <c r="A1" s="59" t="s">
        <v>109</v>
      </c>
    </row>
    <row r="2" spans="1:7" x14ac:dyDescent="0.25">
      <c r="A2" s="28" t="s">
        <v>110</v>
      </c>
    </row>
    <row r="4" spans="1:7" ht="30" x14ac:dyDescent="0.25">
      <c r="A4" s="116" t="s">
        <v>614</v>
      </c>
      <c r="B4" s="43" t="s">
        <v>364</v>
      </c>
      <c r="C4" s="43" t="s">
        <v>781</v>
      </c>
      <c r="D4" s="43" t="s">
        <v>782</v>
      </c>
      <c r="E4" s="43" t="s">
        <v>758</v>
      </c>
    </row>
    <row r="5" spans="1:7" x14ac:dyDescent="0.25">
      <c r="A5" s="25" t="s">
        <v>168</v>
      </c>
      <c r="B5" s="44">
        <f>_xlfn.XLOOKUP(A5,'Change in state retail prices'!A:A,'Change in state retail prices'!K:K,"Not found")</f>
        <v>2.5019847656946013</v>
      </c>
      <c r="C5" s="221">
        <v>687.1</v>
      </c>
      <c r="D5" s="220">
        <f>C5/E5</f>
        <v>24.922016684802323</v>
      </c>
      <c r="E5" s="84">
        <f>_xlfn.XLOOKUP(A5,'State growth in retail sales'!A:A,'State growth in retail sales'!H:H,"Not found")/1000</f>
        <v>27.57</v>
      </c>
      <c r="G5" s="202"/>
    </row>
    <row r="6" spans="1:7" x14ac:dyDescent="0.25">
      <c r="A6" s="25" t="s">
        <v>169</v>
      </c>
      <c r="B6" s="44">
        <f>_xlfn.XLOOKUP(A6,'Change in state retail prices'!A:A,'Change in state retail prices'!K:K,"Not found")</f>
        <v>5.3705930391399868</v>
      </c>
      <c r="C6" s="221">
        <v>290.60000000000002</v>
      </c>
      <c r="D6" s="220">
        <f t="shared" ref="D6:D55" si="0">C6/E6</f>
        <v>26.329618555766967</v>
      </c>
      <c r="E6" s="84">
        <f>_xlfn.XLOOKUP(A6,'State growth in retail sales'!A:A,'State growth in retail sales'!H:H,"Not found")/1000</f>
        <v>11.037000000000001</v>
      </c>
    </row>
    <row r="7" spans="1:7" x14ac:dyDescent="0.25">
      <c r="A7" s="25" t="s">
        <v>170</v>
      </c>
      <c r="B7" s="44">
        <f>_xlfn.XLOOKUP(A7,'Change in state retail prices'!A:A,'Change in state retail prices'!K:K,"Not found")</f>
        <v>2.7049367464512706</v>
      </c>
      <c r="C7" s="221">
        <v>3659.9</v>
      </c>
      <c r="D7" s="220">
        <f t="shared" si="0"/>
        <v>70.735007054366946</v>
      </c>
      <c r="E7" s="84">
        <f>_xlfn.XLOOKUP(A7,'State growth in retail sales'!A:A,'State growth in retail sales'!H:H,"Not found")/1000</f>
        <v>51.741</v>
      </c>
    </row>
    <row r="8" spans="1:7" x14ac:dyDescent="0.25">
      <c r="A8" s="25" t="s">
        <v>171</v>
      </c>
      <c r="B8" s="44">
        <f>_xlfn.XLOOKUP(A8,'Change in state retail prices'!A:A,'Change in state retail prices'!K:K,"Not found")</f>
        <v>0.28759050008909171</v>
      </c>
      <c r="C8" s="221">
        <v>100</v>
      </c>
      <c r="D8" s="220">
        <f t="shared" si="0"/>
        <v>9.0057636887608083</v>
      </c>
      <c r="E8" s="84">
        <f>_xlfn.XLOOKUP(A8,'State growth in retail sales'!A:A,'State growth in retail sales'!H:H,"Not found")/1000</f>
        <v>11.103999999999999</v>
      </c>
    </row>
    <row r="9" spans="1:7" x14ac:dyDescent="0.25">
      <c r="A9" s="25" t="s">
        <v>172</v>
      </c>
      <c r="B9" s="44">
        <f>_xlfn.XLOOKUP(A9,'Change in state retail prices'!A:A,'Change in state retail prices'!K:K,"Not found")</f>
        <v>2.893145676189345</v>
      </c>
      <c r="C9" s="221">
        <v>68.8</v>
      </c>
      <c r="D9" s="220">
        <f t="shared" si="0"/>
        <v>9.2922744462452727</v>
      </c>
      <c r="E9" s="84">
        <f>_xlfn.XLOOKUP(A9,'State growth in retail sales'!A:A,'State growth in retail sales'!H:H,"Not found")/1000</f>
        <v>7.4039999999999999</v>
      </c>
    </row>
    <row r="10" spans="1:7" x14ac:dyDescent="0.25">
      <c r="A10" s="25" t="s">
        <v>173</v>
      </c>
      <c r="B10" s="44">
        <f>_xlfn.XLOOKUP(A10,'Change in state retail prices'!A:A,'Change in state retail prices'!K:K,"Not found")</f>
        <v>0.31099067529845215</v>
      </c>
      <c r="C10" s="221">
        <v>17.2</v>
      </c>
      <c r="D10" s="220">
        <f t="shared" si="0"/>
        <v>3.1427005298739266</v>
      </c>
      <c r="E10" s="84">
        <f>_xlfn.XLOOKUP(A10,'State growth in retail sales'!A:A,'State growth in retail sales'!H:H,"Not found")/1000</f>
        <v>5.4729999999999999</v>
      </c>
    </row>
    <row r="11" spans="1:7" x14ac:dyDescent="0.25">
      <c r="A11" s="25" t="s">
        <v>175</v>
      </c>
      <c r="B11" s="44">
        <f>_xlfn.XLOOKUP(A11,'Change in state retail prices'!A:A,'Change in state retail prices'!K:K,"Not found")</f>
        <v>2.170709300944349</v>
      </c>
      <c r="C11" s="221">
        <v>1664.2</v>
      </c>
      <c r="D11" s="220">
        <f t="shared" si="0"/>
        <v>22.777291142012484</v>
      </c>
      <c r="E11" s="84">
        <f>_xlfn.XLOOKUP(A11,'State growth in retail sales'!A:A,'State growth in retail sales'!H:H,"Not found")/1000</f>
        <v>73.063999999999993</v>
      </c>
    </row>
    <row r="12" spans="1:7" x14ac:dyDescent="0.25">
      <c r="A12" s="25" t="s">
        <v>176</v>
      </c>
      <c r="B12" s="44">
        <f>_xlfn.XLOOKUP(A12,'Change in state retail prices'!A:A,'Change in state retail prices'!K:K,"Not found")</f>
        <v>3.8079561382669134</v>
      </c>
      <c r="C12" s="221">
        <v>5118.0999999999995</v>
      </c>
      <c r="D12" s="220">
        <f t="shared" si="0"/>
        <v>35.668687713429499</v>
      </c>
      <c r="E12" s="84">
        <f>_xlfn.XLOOKUP(A12,'State growth in retail sales'!A:A,'State growth in retail sales'!H:H,"Not found")/1000</f>
        <v>143.49</v>
      </c>
    </row>
    <row r="13" spans="1:7" x14ac:dyDescent="0.25">
      <c r="A13" s="25" t="s">
        <v>177</v>
      </c>
      <c r="B13" s="44">
        <f>_xlfn.XLOOKUP(A13,'Change in state retail prices'!A:A,'Change in state retail prices'!K:K,"Not found")</f>
        <v>1.9247733414503756</v>
      </c>
      <c r="C13" s="221">
        <v>6129.800000000002</v>
      </c>
      <c r="D13" s="220">
        <f t="shared" si="0"/>
        <v>42.770920407209204</v>
      </c>
      <c r="E13" s="84">
        <f>_xlfn.XLOOKUP(A13,'State growth in retail sales'!A:A,'State growth in retail sales'!H:H,"Not found")/1000</f>
        <v>143.31700000000001</v>
      </c>
    </row>
    <row r="14" spans="1:7" x14ac:dyDescent="0.25">
      <c r="A14" s="25" t="s">
        <v>179</v>
      </c>
      <c r="B14" s="44">
        <f>_xlfn.XLOOKUP(A14,'Change in state retail prices'!A:A,'Change in state retail prices'!K:K,"Not found")</f>
        <v>1.741230233497074</v>
      </c>
      <c r="C14" s="221">
        <v>10002.299999999999</v>
      </c>
      <c r="D14" s="220">
        <f t="shared" si="0"/>
        <v>73.874958454891228</v>
      </c>
      <c r="E14" s="84">
        <f>_xlfn.XLOOKUP(A14,'State growth in retail sales'!A:A,'State growth in retail sales'!H:H,"Not found")/1000</f>
        <v>135.39500000000001</v>
      </c>
    </row>
    <row r="15" spans="1:7" x14ac:dyDescent="0.25">
      <c r="A15" s="25" t="s">
        <v>180</v>
      </c>
      <c r="B15" s="44">
        <f>_xlfn.XLOOKUP(A15,'Change in state retail prices'!A:A,'Change in state retail prices'!K:K,"Not found")</f>
        <v>0.1319447294933056</v>
      </c>
      <c r="C15" s="221">
        <v>2969.9</v>
      </c>
      <c r="D15" s="220">
        <f t="shared" si="0"/>
        <v>28.698290606549616</v>
      </c>
      <c r="E15" s="84">
        <f>_xlfn.XLOOKUP(A15,'State growth in retail sales'!A:A,'State growth in retail sales'!H:H,"Not found")/1000</f>
        <v>103.48699999999999</v>
      </c>
    </row>
    <row r="16" spans="1:7" x14ac:dyDescent="0.25">
      <c r="A16" s="25" t="s">
        <v>181</v>
      </c>
      <c r="B16" s="44">
        <f>_xlfn.XLOOKUP(A16,'Change in state retail prices'!A:A,'Change in state retail prices'!K:K,"Not found")</f>
        <v>0.22102735347554159</v>
      </c>
      <c r="C16" s="221">
        <v>4040.4</v>
      </c>
      <c r="D16" s="220">
        <f t="shared" si="0"/>
        <v>40.356379472222777</v>
      </c>
      <c r="E16" s="84">
        <f>_xlfn.XLOOKUP(A16,'State growth in retail sales'!A:A,'State growth in retail sales'!H:H,"Not found")/1000</f>
        <v>100.11799999999999</v>
      </c>
    </row>
    <row r="17" spans="1:6" x14ac:dyDescent="0.25">
      <c r="A17" s="25" t="s">
        <v>182</v>
      </c>
      <c r="B17" s="44">
        <f>_xlfn.XLOOKUP(A17,'Change in state retail prices'!A:A,'Change in state retail prices'!K:K,"Not found")</f>
        <v>0.40612820469685751</v>
      </c>
      <c r="C17" s="221">
        <v>6542.5000000000009</v>
      </c>
      <c r="D17" s="220">
        <f t="shared" si="0"/>
        <v>40.402262650215526</v>
      </c>
      <c r="E17" s="84">
        <f>_xlfn.XLOOKUP(A17,'State growth in retail sales'!A:A,'State growth in retail sales'!H:H,"Not found")/1000</f>
        <v>161.934</v>
      </c>
    </row>
    <row r="18" spans="1:6" x14ac:dyDescent="0.25">
      <c r="A18" s="25" t="s">
        <v>185</v>
      </c>
      <c r="B18" s="44">
        <f>_xlfn.XLOOKUP(A18,'Change in state retail prices'!A:A,'Change in state retail prices'!K:K,"Not found")</f>
        <v>-2.9381350514769977E-2</v>
      </c>
      <c r="C18" s="221">
        <v>1623.5</v>
      </c>
      <c r="D18" s="220">
        <f t="shared" si="0"/>
        <v>23.133371330863493</v>
      </c>
      <c r="E18" s="84">
        <f>_xlfn.XLOOKUP(A18,'State growth in retail sales'!A:A,'State growth in retail sales'!H:H,"Not found")/1000</f>
        <v>70.180000000000007</v>
      </c>
    </row>
    <row r="19" spans="1:6" x14ac:dyDescent="0.25">
      <c r="A19" s="25" t="s">
        <v>191</v>
      </c>
      <c r="B19" s="44">
        <f>_xlfn.XLOOKUP(A19,'Change in state retail prices'!A:A,'Change in state retail prices'!K:K,"Not found")</f>
        <v>-1.6363210752977579</v>
      </c>
      <c r="C19" s="221">
        <v>1191.8</v>
      </c>
      <c r="D19" s="220">
        <f t="shared" si="0"/>
        <v>20.348996038792514</v>
      </c>
      <c r="E19" s="84">
        <f>_xlfn.XLOOKUP(A19,'State growth in retail sales'!A:A,'State growth in retail sales'!H:H,"Not found")/1000</f>
        <v>58.567999999999998</v>
      </c>
    </row>
    <row r="20" spans="1:6" x14ac:dyDescent="0.25">
      <c r="A20" s="25" t="s">
        <v>193</v>
      </c>
      <c r="B20" s="44">
        <f>_xlfn.XLOOKUP(A20,'Change in state retail prices'!A:A,'Change in state retail prices'!K:K,"Not found")</f>
        <v>-1.3573407745104635</v>
      </c>
      <c r="C20" s="221">
        <v>536.69999999999993</v>
      </c>
      <c r="D20" s="220">
        <f t="shared" si="0"/>
        <v>12.787400824378738</v>
      </c>
      <c r="E20" s="84">
        <f>_xlfn.XLOOKUP(A20,'State growth in retail sales'!A:A,'State growth in retail sales'!H:H,"Not found")/1000</f>
        <v>41.970999999999997</v>
      </c>
    </row>
    <row r="21" spans="1:6" x14ac:dyDescent="0.25">
      <c r="A21" s="25" t="s">
        <v>195</v>
      </c>
      <c r="B21" s="44">
        <f>_xlfn.XLOOKUP(A21,'Change in state retail prices'!A:A,'Change in state retail prices'!K:K,"Not found")</f>
        <v>-0.29519787531121722</v>
      </c>
      <c r="C21" s="221">
        <v>1482.2</v>
      </c>
      <c r="D21" s="220">
        <f t="shared" si="0"/>
        <v>22.547080836046124</v>
      </c>
      <c r="E21" s="84">
        <f>_xlfn.XLOOKUP(A21,'State growth in retail sales'!A:A,'State growth in retail sales'!H:H,"Not found")/1000</f>
        <v>65.738</v>
      </c>
    </row>
    <row r="22" spans="1:6" x14ac:dyDescent="0.25">
      <c r="A22" s="25" t="s">
        <v>196</v>
      </c>
      <c r="B22" s="44">
        <f>_xlfn.XLOOKUP(A22,'Change in state retail prices'!A:A,'Change in state retail prices'!K:K,"Not found")</f>
        <v>-0.57938193930421811</v>
      </c>
      <c r="C22" s="221">
        <v>2902.4</v>
      </c>
      <c r="D22" s="220">
        <f t="shared" si="0"/>
        <v>36.228374566243104</v>
      </c>
      <c r="E22" s="84">
        <f>_xlfn.XLOOKUP(A22,'State growth in retail sales'!A:A,'State growth in retail sales'!H:H,"Not found")/1000</f>
        <v>80.114000000000004</v>
      </c>
    </row>
    <row r="23" spans="1:6" x14ac:dyDescent="0.25">
      <c r="A23" s="25" t="s">
        <v>199</v>
      </c>
      <c r="B23" s="44">
        <f>_xlfn.XLOOKUP(A23,'Change in state retail prices'!A:A,'Change in state retail prices'!K:K,"Not found")</f>
        <v>-1.846321075297757</v>
      </c>
      <c r="C23" s="221">
        <v>29.3</v>
      </c>
      <c r="D23" s="220">
        <f t="shared" si="0"/>
        <v>0.77875823942164568</v>
      </c>
      <c r="E23" s="84">
        <f>_xlfn.XLOOKUP(A23,'State growth in retail sales'!A:A,'State growth in retail sales'!H:H,"Not found")/1000</f>
        <v>37.624000000000002</v>
      </c>
    </row>
    <row r="24" spans="1:6" x14ac:dyDescent="0.25">
      <c r="A24" s="25" t="s">
        <v>201</v>
      </c>
      <c r="B24" s="44">
        <f>_xlfn.XLOOKUP(A24,'Change in state retail prices'!A:A,'Change in state retail prices'!K:K,"Not found")</f>
        <v>-2.9076477440952821</v>
      </c>
      <c r="C24" s="221">
        <v>115</v>
      </c>
      <c r="D24" s="220">
        <f t="shared" si="0"/>
        <v>3.7905006756979467</v>
      </c>
      <c r="E24" s="84">
        <f>_xlfn.XLOOKUP(A24,'State growth in retail sales'!A:A,'State growth in retail sales'!H:H,"Not found")/1000</f>
        <v>30.338999999999999</v>
      </c>
    </row>
    <row r="25" spans="1:6" x14ac:dyDescent="0.25">
      <c r="A25" s="25" t="s">
        <v>203</v>
      </c>
      <c r="B25" s="44">
        <f>_xlfn.XLOOKUP(A25,'Change in state retail prices'!A:A,'Change in state retail prices'!K:K,"Not found")</f>
        <v>-1.1508103425072349</v>
      </c>
      <c r="C25" s="221">
        <v>61.6</v>
      </c>
      <c r="D25" s="220">
        <f t="shared" si="0"/>
        <v>4.4595670744950411</v>
      </c>
      <c r="E25" s="84">
        <f>_xlfn.XLOOKUP(A25,'State growth in retail sales'!A:A,'State growth in retail sales'!H:H,"Not found")/1000</f>
        <v>13.813000000000001</v>
      </c>
    </row>
    <row r="26" spans="1:6" x14ac:dyDescent="0.25">
      <c r="A26" s="25" t="s">
        <v>207</v>
      </c>
      <c r="B26" s="44">
        <f>_xlfn.XLOOKUP(A26,'Change in state retail prices'!A:A,'Change in state retail prices'!K:K,"Not found")</f>
        <v>0.86204661644975822</v>
      </c>
      <c r="C26" s="221">
        <v>559.1</v>
      </c>
      <c r="D26" s="220">
        <f t="shared" si="0"/>
        <v>48.28986007946105</v>
      </c>
      <c r="E26" s="84">
        <f>_xlfn.XLOOKUP(A26,'State growth in retail sales'!A:A,'State growth in retail sales'!H:H,"Not found")/1000</f>
        <v>11.577999999999999</v>
      </c>
    </row>
    <row r="27" spans="1:6" x14ac:dyDescent="0.25">
      <c r="A27" s="25" t="s">
        <v>208</v>
      </c>
      <c r="B27" s="44">
        <f>_xlfn.XLOOKUP(A27,'Change in state retail prices'!A:A,'Change in state retail prices'!K:K,"Not found")</f>
        <v>4.794944104927616</v>
      </c>
      <c r="C27" s="221">
        <v>0</v>
      </c>
      <c r="D27" s="220">
        <f t="shared" si="0"/>
        <v>0</v>
      </c>
      <c r="E27" s="84">
        <f>_xlfn.XLOOKUP(A27,'State growth in retail sales'!A:A,'State growth in retail sales'!H:H,"Not found")/1000</f>
        <v>10.241</v>
      </c>
    </row>
    <row r="28" spans="1:6" x14ac:dyDescent="0.25">
      <c r="A28" s="25" t="s">
        <v>209</v>
      </c>
      <c r="B28" s="44">
        <f>_xlfn.XLOOKUP(A28,'Change in state retail prices'!A:A,'Change in state retail prices'!K:K,"Not found")</f>
        <v>0.1133998741193416</v>
      </c>
      <c r="C28" s="221">
        <v>2975.8</v>
      </c>
      <c r="D28" s="220">
        <f t="shared" si="0"/>
        <v>11.53907301203231</v>
      </c>
      <c r="E28" s="84">
        <f>_xlfn.XLOOKUP(A28,'State growth in retail sales'!A:A,'State growth in retail sales'!H:H,"Not found")/1000</f>
        <v>257.88900000000001</v>
      </c>
    </row>
    <row r="29" spans="1:6" x14ac:dyDescent="0.25">
      <c r="A29" s="25" t="s">
        <v>210</v>
      </c>
      <c r="B29" s="44">
        <f>_xlfn.XLOOKUP(A29,'Change in state retail prices'!A:A,'Change in state retail prices'!K:K,"Not found")</f>
        <v>-0.46178900777617748</v>
      </c>
      <c r="C29" s="221">
        <v>4137</v>
      </c>
      <c r="D29" s="220">
        <f t="shared" si="0"/>
        <v>26.939556933175311</v>
      </c>
      <c r="E29" s="84">
        <f>_xlfn.XLOOKUP(A29,'State growth in retail sales'!A:A,'State growth in retail sales'!H:H,"Not found")/1000</f>
        <v>153.566</v>
      </c>
    </row>
    <row r="30" spans="1:6" ht="18" customHeight="1" x14ac:dyDescent="0.25">
      <c r="A30" s="25" t="s">
        <v>211</v>
      </c>
      <c r="B30" s="44">
        <f>_xlfn.XLOOKUP(A30,'Change in state retail prices'!A:A,'Change in state retail prices'!K:K,"Not found")</f>
        <v>2.5898672974235044</v>
      </c>
      <c r="C30" s="221">
        <v>3655.5</v>
      </c>
      <c r="D30" s="220">
        <f t="shared" si="0"/>
        <v>61.433877283498312</v>
      </c>
      <c r="E30" s="84">
        <f>_xlfn.XLOOKUP(A30,'State growth in retail sales'!A:A,'State growth in retail sales'!H:H,"Not found")/1000</f>
        <v>59.503</v>
      </c>
      <c r="F30" s="118"/>
    </row>
    <row r="31" spans="1:6" x14ac:dyDescent="0.25">
      <c r="A31" s="25" t="s">
        <v>212</v>
      </c>
      <c r="B31" s="44">
        <f>_xlfn.XLOOKUP(A31,'Change in state retail prices'!A:A,'Change in state retail prices'!K:K,"Not found")</f>
        <v>-0.44235356221956224</v>
      </c>
      <c r="C31" s="221">
        <v>1677.8</v>
      </c>
      <c r="D31" s="220">
        <f t="shared" si="0"/>
        <v>11.934501792522619</v>
      </c>
      <c r="E31" s="84">
        <f>_xlfn.XLOOKUP(A31,'State growth in retail sales'!A:A,'State growth in retail sales'!H:H,"Not found")/1000</f>
        <v>140.584</v>
      </c>
    </row>
    <row r="32" spans="1:6" x14ac:dyDescent="0.25">
      <c r="A32" s="25" t="s">
        <v>213</v>
      </c>
      <c r="B32" s="44">
        <f>_xlfn.XLOOKUP(A32,'Change in state retail prices'!A:A,'Change in state retail prices'!K:K,"Not found")</f>
        <v>-1.2444955231153454</v>
      </c>
      <c r="C32" s="221">
        <v>897.99999999999977</v>
      </c>
      <c r="D32" s="220">
        <f t="shared" si="0"/>
        <v>10.488326189280414</v>
      </c>
      <c r="E32" s="84">
        <f>_xlfn.XLOOKUP(A32,'State growth in retail sales'!A:A,'State growth in retail sales'!H:H,"Not found")/1000</f>
        <v>85.619</v>
      </c>
    </row>
    <row r="33" spans="1:5" x14ac:dyDescent="0.25">
      <c r="A33" s="25" t="s">
        <v>214</v>
      </c>
      <c r="B33" s="44">
        <f>_xlfn.XLOOKUP(A33,'Change in state retail prices'!A:A,'Change in state retail prices'!K:K,"Not found")</f>
        <v>-0.65103766268044616</v>
      </c>
      <c r="C33" s="221">
        <v>5103.1000000000049</v>
      </c>
      <c r="D33" s="220">
        <f t="shared" si="0"/>
        <v>35.273096755464039</v>
      </c>
      <c r="E33" s="84">
        <f>_xlfn.XLOOKUP(A33,'State growth in retail sales'!A:A,'State growth in retail sales'!H:H,"Not found")/1000</f>
        <v>144.67400000000001</v>
      </c>
    </row>
    <row r="34" spans="1:5" x14ac:dyDescent="0.25">
      <c r="A34" s="25" t="s">
        <v>215</v>
      </c>
      <c r="B34" s="44">
        <f>_xlfn.XLOOKUP(A34,'Change in state retail prices'!A:A,'Change in state retail prices'!K:K,"Not found")</f>
        <v>0.64388552981544223</v>
      </c>
      <c r="C34" s="221">
        <v>0</v>
      </c>
      <c r="D34" s="220">
        <f t="shared" si="0"/>
        <v>0</v>
      </c>
      <c r="E34" s="84">
        <f>_xlfn.XLOOKUP(A34,'State growth in retail sales'!A:A,'State growth in retail sales'!H:H,"Not found")/1000</f>
        <v>33.683</v>
      </c>
    </row>
    <row r="35" spans="1:5" x14ac:dyDescent="0.25">
      <c r="A35" s="25" t="s">
        <v>217</v>
      </c>
      <c r="B35" s="44">
        <f>_xlfn.XLOOKUP(A35,'Change in state retail prices'!A:A,'Change in state retail prices'!K:K,"Not found")</f>
        <v>0.16621846384991557</v>
      </c>
      <c r="C35" s="221">
        <v>1883.6</v>
      </c>
      <c r="D35" s="220">
        <f t="shared" si="0"/>
        <v>21.111621703410631</v>
      </c>
      <c r="E35" s="84">
        <f>_xlfn.XLOOKUP(A35,'State growth in retail sales'!A:A,'State growth in retail sales'!H:H,"Not found")/1000</f>
        <v>89.221000000000004</v>
      </c>
    </row>
    <row r="36" spans="1:5" x14ac:dyDescent="0.25">
      <c r="A36" s="25" t="s">
        <v>218</v>
      </c>
      <c r="B36" s="44">
        <f>_xlfn.XLOOKUP(A36,'Change in state retail prices'!A:A,'Change in state retail prices'!K:K,"Not found")</f>
        <v>-0.35814435668893374</v>
      </c>
      <c r="C36" s="221">
        <v>3398.3</v>
      </c>
      <c r="D36" s="220">
        <f t="shared" si="0"/>
        <v>44.76218074526799</v>
      </c>
      <c r="E36" s="84">
        <f>_xlfn.XLOOKUP(A36,'State growth in retail sales'!A:A,'State growth in retail sales'!H:H,"Not found")/1000</f>
        <v>75.918999999999997</v>
      </c>
    </row>
    <row r="37" spans="1:5" x14ac:dyDescent="0.25">
      <c r="A37" s="25" t="s">
        <v>219</v>
      </c>
      <c r="B37" s="44">
        <f>_xlfn.XLOOKUP(A37,'Change in state retail prices'!A:A,'Change in state retail prices'!K:K,"Not found")</f>
        <v>-0.18697788967169515</v>
      </c>
      <c r="C37" s="221">
        <v>827.4</v>
      </c>
      <c r="D37" s="220">
        <f t="shared" si="0"/>
        <v>16.677752917699703</v>
      </c>
      <c r="E37" s="84">
        <f>_xlfn.XLOOKUP(A37,'State growth in retail sales'!A:A,'State growth in retail sales'!H:H,"Not found")/1000</f>
        <v>49.610999999999997</v>
      </c>
    </row>
    <row r="38" spans="1:5" x14ac:dyDescent="0.25">
      <c r="A38" s="25" t="s">
        <v>220</v>
      </c>
      <c r="B38" s="44">
        <f>_xlfn.XLOOKUP(A38,'Change in state retail prices'!A:A,'Change in state retail prices'!K:K,"Not found")</f>
        <v>-0.70641333522831218</v>
      </c>
      <c r="C38" s="221">
        <v>1862.8</v>
      </c>
      <c r="D38" s="220">
        <f t="shared" si="0"/>
        <v>17.4825437345146</v>
      </c>
      <c r="E38" s="84">
        <f>_xlfn.XLOOKUP(A38,'State growth in retail sales'!A:A,'State growth in retail sales'!H:H,"Not found")/1000</f>
        <v>106.55200000000001</v>
      </c>
    </row>
    <row r="39" spans="1:5" x14ac:dyDescent="0.25">
      <c r="A39" s="25" t="s">
        <v>222</v>
      </c>
      <c r="B39" s="44">
        <f>_xlfn.XLOOKUP(A39,'Change in state retail prices'!A:A,'Change in state retail prices'!K:K,"Not found")</f>
        <v>-0.57404722554971421</v>
      </c>
      <c r="C39" s="221">
        <v>120</v>
      </c>
      <c r="D39" s="220">
        <f t="shared" si="0"/>
        <v>2.2657326813058174</v>
      </c>
      <c r="E39" s="84">
        <f>_xlfn.XLOOKUP(A39,'State growth in retail sales'!A:A,'State growth in retail sales'!H:H,"Not found")/1000</f>
        <v>52.963000000000001</v>
      </c>
    </row>
    <row r="40" spans="1:5" x14ac:dyDescent="0.25">
      <c r="A40" s="25" t="s">
        <v>223</v>
      </c>
      <c r="B40" s="44">
        <f>_xlfn.XLOOKUP(A40,'Change in state retail prices'!A:A,'Change in state retail prices'!K:K,"Not found")</f>
        <v>-0.26792020790611737</v>
      </c>
      <c r="C40" s="221">
        <v>2381</v>
      </c>
      <c r="D40" s="220">
        <f t="shared" si="0"/>
        <v>24.277338771348457</v>
      </c>
      <c r="E40" s="84">
        <f>_xlfn.XLOOKUP(A40,'State growth in retail sales'!A:A,'State growth in retail sales'!H:H,"Not found")/1000</f>
        <v>98.075000000000003</v>
      </c>
    </row>
    <row r="41" spans="1:5" x14ac:dyDescent="0.25">
      <c r="A41" s="25" t="s">
        <v>224</v>
      </c>
      <c r="B41" s="44">
        <f>_xlfn.XLOOKUP(A41,'Change in state retail prices'!A:A,'Change in state retail prices'!K:K,"Not found")</f>
        <v>-0.45795756603658688</v>
      </c>
      <c r="C41" s="221">
        <v>1123.3</v>
      </c>
      <c r="D41" s="220">
        <f t="shared" si="0"/>
        <v>14.954403248352527</v>
      </c>
      <c r="E41" s="84">
        <f>_xlfn.XLOOKUP(A41,'State growth in retail sales'!A:A,'State growth in retail sales'!H:H,"Not found")/1000</f>
        <v>75.114999999999995</v>
      </c>
    </row>
    <row r="42" spans="1:5" x14ac:dyDescent="0.25">
      <c r="A42" s="25" t="s">
        <v>225</v>
      </c>
      <c r="B42" s="44">
        <f>_xlfn.XLOOKUP(A42,'Change in state retail prices'!A:A,'Change in state retail prices'!K:K,"Not found")</f>
        <v>-0.71547519948023464</v>
      </c>
      <c r="C42" s="221">
        <v>4863.5999999999995</v>
      </c>
      <c r="D42" s="220">
        <f t="shared" si="0"/>
        <v>9.3584760438714625</v>
      </c>
      <c r="E42" s="84">
        <f>_xlfn.XLOOKUP(A42,'State growth in retail sales'!A:A,'State growth in retail sales'!H:H,"Not found")/1000</f>
        <v>519.70000000000005</v>
      </c>
    </row>
    <row r="43" spans="1:5" x14ac:dyDescent="0.25">
      <c r="A43" s="25" t="s">
        <v>227</v>
      </c>
      <c r="B43" s="44">
        <f>_xlfn.XLOOKUP(A43,'Change in state retail prices'!A:A,'Change in state retail prices'!K:K,"Not found")</f>
        <v>-0.33224523765488989</v>
      </c>
      <c r="C43" s="221">
        <v>3697</v>
      </c>
      <c r="D43" s="220">
        <f t="shared" si="0"/>
        <v>40.381422579517647</v>
      </c>
      <c r="E43" s="84">
        <f>_xlfn.XLOOKUP(A43,'State growth in retail sales'!A:A,'State growth in retail sales'!H:H,"Not found")/1000</f>
        <v>91.552000000000007</v>
      </c>
    </row>
    <row r="44" spans="1:5" x14ac:dyDescent="0.25">
      <c r="A44" s="25" t="s">
        <v>228</v>
      </c>
      <c r="B44" s="44">
        <f>_xlfn.XLOOKUP(A44,'Change in state retail prices'!A:A,'Change in state retail prices'!K:K,"Not found")</f>
        <v>-8.9680044386906133E-2</v>
      </c>
      <c r="C44" s="221">
        <v>899.2</v>
      </c>
      <c r="D44" s="220">
        <f t="shared" si="0"/>
        <v>15.872343430064252</v>
      </c>
      <c r="E44" s="84">
        <f>_xlfn.XLOOKUP(A44,'State growth in retail sales'!A:A,'State growth in retail sales'!H:H,"Not found")/1000</f>
        <v>56.652000000000001</v>
      </c>
    </row>
    <row r="45" spans="1:5" x14ac:dyDescent="0.25">
      <c r="A45" s="25" t="s">
        <v>229</v>
      </c>
      <c r="B45" s="44">
        <f>_xlfn.XLOOKUP(A45,'Change in state retail prices'!A:A,'Change in state retail prices'!K:K,"Not found")</f>
        <v>-0.23668392824116857</v>
      </c>
      <c r="C45" s="221">
        <v>0</v>
      </c>
      <c r="D45" s="220">
        <f t="shared" si="0"/>
        <v>0</v>
      </c>
      <c r="E45" s="84">
        <f>_xlfn.XLOOKUP(A45,'State growth in retail sales'!A:A,'State growth in retail sales'!H:H,"Not found")/1000</f>
        <v>26.8</v>
      </c>
    </row>
    <row r="46" spans="1:5" x14ac:dyDescent="0.25">
      <c r="A46" s="25" t="s">
        <v>230</v>
      </c>
      <c r="B46" s="44">
        <f>_xlfn.XLOOKUP(A46,'Change in state retail prices'!A:A,'Change in state retail prices'!K:K,"Not found")</f>
        <v>-0.50553726650637998</v>
      </c>
      <c r="C46" s="221">
        <v>770</v>
      </c>
      <c r="D46" s="220">
        <f t="shared" si="0"/>
        <v>50.094333485134342</v>
      </c>
      <c r="E46" s="84">
        <f>_xlfn.XLOOKUP(A46,'State growth in retail sales'!A:A,'State growth in retail sales'!H:H,"Not found")/1000</f>
        <v>15.371</v>
      </c>
    </row>
    <row r="47" spans="1:5" x14ac:dyDescent="0.25">
      <c r="A47" s="25" t="s">
        <v>231</v>
      </c>
      <c r="B47" s="44">
        <f>_xlfn.XLOOKUP(A47,'Change in state retail prices'!A:A,'Change in state retail prices'!K:K,"Not found")</f>
        <v>-0.79206399112261572</v>
      </c>
      <c r="C47" s="221">
        <v>0</v>
      </c>
      <c r="D47" s="220">
        <f t="shared" si="0"/>
        <v>0</v>
      </c>
      <c r="E47" s="84">
        <f>_xlfn.XLOOKUP(A47,'State growth in retail sales'!A:A,'State growth in retail sales'!H:H,"Not found")/1000</f>
        <v>39.845999999999997</v>
      </c>
    </row>
    <row r="48" spans="1:5" x14ac:dyDescent="0.25">
      <c r="A48" s="25" t="s">
        <v>232</v>
      </c>
      <c r="B48" s="44">
        <f>_xlfn.XLOOKUP(A48,'Change in state retail prices'!A:A,'Change in state retail prices'!K:K,"Not found")</f>
        <v>-1.8076031070834109</v>
      </c>
      <c r="C48" s="221">
        <v>1355</v>
      </c>
      <c r="D48" s="220">
        <f t="shared" si="0"/>
        <v>42.909620621951994</v>
      </c>
      <c r="E48" s="84">
        <f>_xlfn.XLOOKUP(A48,'State growth in retail sales'!A:A,'State growth in retail sales'!H:H,"Not found")/1000</f>
        <v>31.577999999999999</v>
      </c>
    </row>
    <row r="49" spans="1:5" x14ac:dyDescent="0.25">
      <c r="A49" s="25" t="s">
        <v>233</v>
      </c>
      <c r="B49" s="44">
        <f>_xlfn.XLOOKUP(A49,'Change in state retail prices'!A:A,'Change in state retail prices'!K:K,"Not found")</f>
        <v>0.25075087849084632</v>
      </c>
      <c r="C49" s="221">
        <v>1755.9</v>
      </c>
      <c r="D49" s="220">
        <f t="shared" si="0"/>
        <v>50.06272452528939</v>
      </c>
      <c r="E49" s="84">
        <f>_xlfn.XLOOKUP(A49,'State growth in retail sales'!A:A,'State growth in retail sales'!H:H,"Not found")/1000</f>
        <v>35.073999999999998</v>
      </c>
    </row>
    <row r="50" spans="1:5" x14ac:dyDescent="0.25">
      <c r="A50" s="25" t="s">
        <v>234</v>
      </c>
      <c r="B50" s="44">
        <f>_xlfn.XLOOKUP(A50,'Change in state retail prices'!A:A,'Change in state retail prices'!K:K,"Not found")</f>
        <v>-0.49222304420196039</v>
      </c>
      <c r="C50" s="221">
        <v>13.4</v>
      </c>
      <c r="D50" s="220">
        <f t="shared" si="0"/>
        <v>0.77295800646054458</v>
      </c>
      <c r="E50" s="84">
        <f>_xlfn.XLOOKUP(A50,'State growth in retail sales'!A:A,'State growth in retail sales'!H:H,"Not found")/1000</f>
        <v>17.335999999999999</v>
      </c>
    </row>
    <row r="51" spans="1:5" x14ac:dyDescent="0.25">
      <c r="A51" s="25" t="s">
        <v>236</v>
      </c>
      <c r="B51" s="44">
        <f>_xlfn.XLOOKUP(A51,'Change in state retail prices'!A:A,'Change in state retail prices'!K:K,"Not found")</f>
        <v>6.2730682448677619</v>
      </c>
      <c r="C51" s="221">
        <v>4015.1</v>
      </c>
      <c r="D51" s="220">
        <f t="shared" si="0"/>
        <v>16.873216589551895</v>
      </c>
      <c r="E51" s="84">
        <f>_xlfn.XLOOKUP(A51,'State growth in retail sales'!A:A,'State growth in retail sales'!H:H,"Not found")/1000</f>
        <v>237.95699999999999</v>
      </c>
    </row>
    <row r="52" spans="1:5" x14ac:dyDescent="0.25">
      <c r="A52" s="25" t="s">
        <v>237</v>
      </c>
      <c r="B52" s="44">
        <f>_xlfn.XLOOKUP(A52,'Change in state retail prices'!A:A,'Change in state retail prices'!K:K,"Not found")</f>
        <v>0.37000184945440928</v>
      </c>
      <c r="C52" s="221">
        <v>653.1</v>
      </c>
      <c r="D52" s="220">
        <f t="shared" si="0"/>
        <v>10.607955560608769</v>
      </c>
      <c r="E52" s="84">
        <f>_xlfn.XLOOKUP(A52,'State growth in retail sales'!A:A,'State growth in retail sales'!H:H,"Not found")/1000</f>
        <v>61.567</v>
      </c>
    </row>
    <row r="53" spans="1:5" x14ac:dyDescent="0.25">
      <c r="A53" s="25" t="s">
        <v>238</v>
      </c>
      <c r="B53" s="44">
        <f>_xlfn.XLOOKUP(A53,'Change in state retail prices'!A:A,'Change in state retail prices'!K:K,"Not found")</f>
        <v>0.89364527464398158</v>
      </c>
      <c r="C53" s="221">
        <v>734.9</v>
      </c>
      <c r="D53" s="220">
        <f t="shared" si="0"/>
        <v>8.0719212688370465</v>
      </c>
      <c r="E53" s="84">
        <f>_xlfn.XLOOKUP(A53,'State growth in retail sales'!A:A,'State growth in retail sales'!H:H,"Not found")/1000</f>
        <v>91.043999999999997</v>
      </c>
    </row>
    <row r="54" spans="1:5" x14ac:dyDescent="0.25">
      <c r="A54" s="25" t="s">
        <v>240</v>
      </c>
      <c r="B54" s="44">
        <f>_xlfn.XLOOKUP(A54,'Change in state retail prices'!A:A,'Change in state retail prices'!K:K,"Not found")</f>
        <v>-2.5176234510819278</v>
      </c>
      <c r="C54" s="221">
        <v>74.900000000000006</v>
      </c>
      <c r="D54" s="220">
        <f t="shared" si="0"/>
        <v>12.242562929061785</v>
      </c>
      <c r="E54" s="84">
        <f>_xlfn.XLOOKUP(A54,'State growth in retail sales'!A:A,'State growth in retail sales'!H:H,"Not found")/1000</f>
        <v>6.1180000000000003</v>
      </c>
    </row>
    <row r="55" spans="1:5" x14ac:dyDescent="0.25">
      <c r="A55" s="25" t="s">
        <v>241</v>
      </c>
      <c r="B55" s="44">
        <f>_xlfn.XLOOKUP(A55,'Change in state retail prices'!A:A,'Change in state retail prices'!K:K,"Not found")</f>
        <v>-0.59563528759016293</v>
      </c>
      <c r="C55" s="221">
        <v>313</v>
      </c>
      <c r="D55" s="220">
        <f t="shared" si="0"/>
        <v>34.256320455291672</v>
      </c>
      <c r="E55" s="84">
        <f>_xlfn.XLOOKUP(A55,'State growth in retail sales'!A:A,'State growth in retail sales'!H:H,"Not found")/1000</f>
        <v>9.1370000000000005</v>
      </c>
    </row>
    <row r="58" spans="1:5" x14ac:dyDescent="0.25">
      <c r="A58" s="114" t="s">
        <v>197</v>
      </c>
      <c r="B58" s="28" t="s">
        <v>783</v>
      </c>
    </row>
    <row r="59" spans="1:5" x14ac:dyDescent="0.25">
      <c r="A59" s="114"/>
      <c r="B59" s="28" t="s">
        <v>784</v>
      </c>
    </row>
    <row r="60" spans="1:5" x14ac:dyDescent="0.25">
      <c r="B60" s="28" t="s">
        <v>785</v>
      </c>
    </row>
    <row r="61" spans="1:5" x14ac:dyDescent="0.25">
      <c r="B61" s="28"/>
    </row>
    <row r="62" spans="1:5" x14ac:dyDescent="0.25">
      <c r="A62" s="114" t="s">
        <v>205</v>
      </c>
      <c r="B62" s="28" t="s">
        <v>761</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4A4EC-4A27-4241-AB87-DBCACA0AF883}">
  <sheetPr>
    <tabColor theme="9" tint="0.59999389629810485"/>
  </sheetPr>
  <dimension ref="A1:I28"/>
  <sheetViews>
    <sheetView workbookViewId="0">
      <selection activeCell="G15" sqref="G15"/>
    </sheetView>
  </sheetViews>
  <sheetFormatPr defaultRowHeight="15" x14ac:dyDescent="0.25"/>
  <cols>
    <col min="1" max="1" width="11.5703125" style="25" customWidth="1"/>
    <col min="2" max="4" width="13.42578125" style="25" customWidth="1"/>
    <col min="5" max="5" width="11.140625" style="25" customWidth="1"/>
    <col min="6" max="6" width="13" customWidth="1"/>
    <col min="7" max="9" width="12.5703125" customWidth="1"/>
  </cols>
  <sheetData>
    <row r="1" spans="1:9" x14ac:dyDescent="0.25">
      <c r="A1" s="59" t="s">
        <v>111</v>
      </c>
      <c r="B1" s="92"/>
    </row>
    <row r="2" spans="1:9" x14ac:dyDescent="0.25">
      <c r="A2" s="28" t="s">
        <v>112</v>
      </c>
    </row>
    <row r="3" spans="1:9" x14ac:dyDescent="0.25">
      <c r="A3" s="28"/>
    </row>
    <row r="4" spans="1:9" x14ac:dyDescent="0.25">
      <c r="A4" s="59" t="s">
        <v>556</v>
      </c>
      <c r="F4" s="59" t="s">
        <v>557</v>
      </c>
      <c r="G4" s="25"/>
      <c r="H4" s="25"/>
      <c r="I4" s="25"/>
    </row>
    <row r="5" spans="1:9" s="31" customFormat="1" ht="18" customHeight="1" x14ac:dyDescent="0.25">
      <c r="A5" s="53" t="s">
        <v>158</v>
      </c>
      <c r="B5" s="27" t="s">
        <v>478</v>
      </c>
      <c r="C5" s="27" t="s">
        <v>480</v>
      </c>
      <c r="D5" s="27" t="s">
        <v>479</v>
      </c>
      <c r="E5" s="54"/>
      <c r="F5" s="53" t="s">
        <v>158</v>
      </c>
      <c r="G5" s="27" t="s">
        <v>478</v>
      </c>
      <c r="H5" s="27" t="s">
        <v>480</v>
      </c>
      <c r="I5" s="27" t="s">
        <v>479</v>
      </c>
    </row>
    <row r="6" spans="1:9" x14ac:dyDescent="0.25">
      <c r="A6" s="30">
        <v>2019</v>
      </c>
      <c r="B6" s="44">
        <v>1.2</v>
      </c>
      <c r="C6" s="44">
        <v>2.8521586135959454</v>
      </c>
      <c r="D6" s="44">
        <v>0.98561535642028753</v>
      </c>
      <c r="E6" s="44"/>
      <c r="F6" s="30">
        <v>2019</v>
      </c>
      <c r="G6" s="44">
        <f>B6*'Inflation adjustment'!$F$20/'Inflation adjustment'!$F14</f>
        <v>1.5111324939274104</v>
      </c>
      <c r="H6" s="44">
        <f>C6*'Inflation adjustment'!$F$20/'Inflation adjustment'!$F14</f>
        <v>3.5916579656998215</v>
      </c>
      <c r="I6" s="44">
        <f>D6*'Inflation adjustment'!$F$20/'Inflation adjustment'!$F14</f>
        <v>1.2411628263337855</v>
      </c>
    </row>
    <row r="7" spans="1:9" x14ac:dyDescent="0.25">
      <c r="A7" s="30">
        <v>2020</v>
      </c>
      <c r="B7" s="44">
        <v>0.999</v>
      </c>
      <c r="C7" s="44">
        <v>2.3104854476651884</v>
      </c>
      <c r="D7" s="44">
        <v>1.3577251720500454</v>
      </c>
      <c r="E7" s="44"/>
      <c r="F7" s="30">
        <v>2020</v>
      </c>
      <c r="G7" s="44">
        <f>B7*'Inflation adjustment'!$F$20/'Inflation adjustment'!$F15</f>
        <v>1.2426869684827926</v>
      </c>
      <c r="H7" s="44">
        <f>C7*'Inflation adjustment'!$F$20/'Inflation adjustment'!$F15</f>
        <v>2.8740842409235845</v>
      </c>
      <c r="I7" s="44">
        <f>D7*'Inflation adjustment'!$F$20/'Inflation adjustment'!$F15</f>
        <v>1.6889162943820308</v>
      </c>
    </row>
    <row r="8" spans="1:9" x14ac:dyDescent="0.25">
      <c r="A8" s="30">
        <v>2021</v>
      </c>
      <c r="B8" s="44">
        <v>1.1640000000000001</v>
      </c>
      <c r="C8" s="44">
        <v>1.9371609688263018</v>
      </c>
      <c r="D8" s="44">
        <v>1.2694060752350569</v>
      </c>
      <c r="E8" s="44"/>
      <c r="F8" s="30">
        <v>2021</v>
      </c>
      <c r="G8" s="44">
        <f>B8*'Inflation adjustment'!$F$20/'Inflation adjustment'!$F16</f>
        <v>1.3829636195888844</v>
      </c>
      <c r="H8" s="44">
        <f>C8*'Inflation adjustment'!$F$20/'Inflation adjustment'!$F16</f>
        <v>2.301566275922966</v>
      </c>
      <c r="I8" s="44">
        <f>D8*'Inflation adjustment'!$F$20/'Inflation adjustment'!$F16</f>
        <v>1.5081979557862488</v>
      </c>
    </row>
    <row r="9" spans="1:9" x14ac:dyDescent="0.25">
      <c r="A9" s="30">
        <v>2022</v>
      </c>
      <c r="B9" s="44">
        <v>0.88100000000000001</v>
      </c>
      <c r="C9" s="44">
        <v>1.682311601024054</v>
      </c>
      <c r="D9" s="44">
        <v>0.85841838557384076</v>
      </c>
      <c r="E9" s="44"/>
      <c r="F9" s="30">
        <v>2022</v>
      </c>
      <c r="G9" s="44">
        <f>B9*'Inflation adjustment'!$F$20/'Inflation adjustment'!$F17</f>
        <v>0.96916773333788941</v>
      </c>
      <c r="H9" s="44">
        <f>C9*'Inflation adjustment'!$F$20/'Inflation adjustment'!$F17</f>
        <v>1.850672101171984</v>
      </c>
      <c r="I9" s="44">
        <f>D9*'Inflation adjustment'!$F$20/'Inflation adjustment'!$F17</f>
        <v>0.94432622134184963</v>
      </c>
    </row>
    <row r="10" spans="1:9" x14ac:dyDescent="0.25">
      <c r="A10" s="30">
        <v>2023</v>
      </c>
      <c r="B10" s="44">
        <v>0.46299999999999997</v>
      </c>
      <c r="C10" s="44">
        <v>1.5691396275491503</v>
      </c>
      <c r="D10" s="44">
        <v>1.8704888841146918</v>
      </c>
      <c r="E10" s="44"/>
      <c r="F10" s="30">
        <v>2023</v>
      </c>
      <c r="G10" s="44">
        <f>B10*'Inflation adjustment'!$F$20/'Inflation adjustment'!$F18</f>
        <v>0.48919800001312758</v>
      </c>
      <c r="H10" s="44">
        <f>C10*'Inflation adjustment'!$F$20/'Inflation adjustment'!$F18</f>
        <v>1.6579264957632573</v>
      </c>
      <c r="I10" s="44">
        <f>D10*'Inflation adjustment'!$F$20/'Inflation adjustment'!$F18</f>
        <v>1.9763270435328164</v>
      </c>
    </row>
    <row r="11" spans="1:9" x14ac:dyDescent="0.25">
      <c r="A11" s="30">
        <v>2024</v>
      </c>
      <c r="B11" s="44">
        <v>0.36099999999999999</v>
      </c>
      <c r="C11" s="44">
        <v>1.1986573276452004</v>
      </c>
      <c r="D11" s="44">
        <v>1.6152819390145488</v>
      </c>
      <c r="E11" s="44"/>
      <c r="F11" s="30">
        <v>2024</v>
      </c>
      <c r="G11" s="44">
        <f>B11*'Inflation adjustment'!$F$20/'Inflation adjustment'!$F19</f>
        <v>0.37049887946341753</v>
      </c>
      <c r="H11" s="44">
        <f>C11*'Inflation adjustment'!$F$20/'Inflation adjustment'!$F19</f>
        <v>1.2301972209228844</v>
      </c>
      <c r="I11" s="44">
        <f>D11*'Inflation adjustment'!$F$20/'Inflation adjustment'!$F19</f>
        <v>1.6577843446603511</v>
      </c>
    </row>
    <row r="12" spans="1:9" x14ac:dyDescent="0.25">
      <c r="A12" s="30">
        <v>2025</v>
      </c>
      <c r="B12" s="44">
        <v>1.2760435256596114</v>
      </c>
      <c r="C12" s="44">
        <v>1.0667210218779726</v>
      </c>
      <c r="D12" s="44">
        <v>1.6679427191891718</v>
      </c>
      <c r="E12" s="44"/>
      <c r="F12" s="30">
        <v>2025</v>
      </c>
      <c r="G12" s="44">
        <f>B12*'Inflation adjustment'!$F$20/'Inflation adjustment'!$F20</f>
        <v>1.2760435256596114</v>
      </c>
      <c r="H12" s="44">
        <f>C12*'Inflation adjustment'!$F$20/'Inflation adjustment'!$F20</f>
        <v>1.0667210218779726</v>
      </c>
      <c r="I12" s="44">
        <f>D12*'Inflation adjustment'!$F$20/'Inflation adjustment'!$F20</f>
        <v>1.6679427191891716</v>
      </c>
    </row>
    <row r="13" spans="1:9" x14ac:dyDescent="0.25">
      <c r="C13" s="44"/>
      <c r="D13"/>
      <c r="E13" s="76"/>
      <c r="F13" s="25"/>
      <c r="G13" s="25"/>
      <c r="H13" s="44"/>
    </row>
    <row r="14" spans="1:9" s="31" customFormat="1" ht="14.25" customHeight="1" x14ac:dyDescent="0.25">
      <c r="A14" s="56" t="s">
        <v>335</v>
      </c>
      <c r="B14" s="88">
        <f>B12-B6</f>
        <v>7.6043525659611477E-2</v>
      </c>
      <c r="C14" s="88">
        <f t="shared" ref="C14:D14" si="0">C12-C6</f>
        <v>-1.7854375917179728</v>
      </c>
      <c r="D14" s="88">
        <f t="shared" si="0"/>
        <v>0.68232736276888428</v>
      </c>
      <c r="E14" s="54"/>
      <c r="F14" s="56" t="s">
        <v>335</v>
      </c>
      <c r="G14" s="88">
        <f>G12-G6</f>
        <v>-0.23508896826779901</v>
      </c>
      <c r="H14" s="88">
        <f t="shared" ref="H14:I14" si="1">H12-H6</f>
        <v>-2.524936943821849</v>
      </c>
      <c r="I14" s="88">
        <f t="shared" si="1"/>
        <v>0.42677989285538609</v>
      </c>
    </row>
    <row r="15" spans="1:9" x14ac:dyDescent="0.25">
      <c r="A15" s="30" t="s">
        <v>558</v>
      </c>
      <c r="B15" s="44">
        <f>B12-B11</f>
        <v>0.91504352565961145</v>
      </c>
      <c r="C15" s="44">
        <f t="shared" ref="C15:D15" si="2">C12-C11</f>
        <v>-0.13193630576722781</v>
      </c>
      <c r="D15" s="44">
        <f t="shared" si="2"/>
        <v>5.2660780174623056E-2</v>
      </c>
      <c r="E15" s="76"/>
      <c r="F15" s="30" t="s">
        <v>558</v>
      </c>
      <c r="G15" s="44">
        <f>G12-G11</f>
        <v>0.9055446461961939</v>
      </c>
      <c r="H15" s="44">
        <f t="shared" ref="H15:I15" si="3">H12-H11</f>
        <v>-0.16347619904491184</v>
      </c>
      <c r="I15" s="44">
        <f t="shared" si="3"/>
        <v>1.0158374528820513E-2</v>
      </c>
    </row>
    <row r="16" spans="1:9" x14ac:dyDescent="0.25">
      <c r="A16" s="28"/>
      <c r="C16" s="44"/>
      <c r="D16"/>
      <c r="E16" s="76"/>
    </row>
    <row r="17" spans="1:9" x14ac:dyDescent="0.25">
      <c r="B17"/>
      <c r="C17" s="28"/>
      <c r="D17" s="28"/>
      <c r="E17" s="28"/>
    </row>
    <row r="18" spans="1:9" x14ac:dyDescent="0.25">
      <c r="A18" s="114" t="s">
        <v>197</v>
      </c>
      <c r="B18" t="s">
        <v>786</v>
      </c>
      <c r="C18" s="28"/>
      <c r="D18" s="28"/>
      <c r="E18" s="28"/>
      <c r="G18" s="26"/>
      <c r="H18" s="26"/>
      <c r="I18" s="26"/>
    </row>
    <row r="19" spans="1:9" x14ac:dyDescent="0.25">
      <c r="A19" s="114"/>
      <c r="B19"/>
      <c r="C19" s="28"/>
      <c r="D19" s="28"/>
      <c r="E19" s="28"/>
      <c r="G19" s="26"/>
      <c r="H19" s="26"/>
      <c r="I19" s="26"/>
    </row>
    <row r="21" spans="1:9" x14ac:dyDescent="0.25">
      <c r="A21" s="114" t="s">
        <v>205</v>
      </c>
      <c r="B21" s="28" t="s">
        <v>488</v>
      </c>
    </row>
    <row r="22" spans="1:9" x14ac:dyDescent="0.25">
      <c r="B22" s="28" t="s">
        <v>787</v>
      </c>
    </row>
    <row r="23" spans="1:9" x14ac:dyDescent="0.25">
      <c r="B23" s="28" t="s">
        <v>788</v>
      </c>
    </row>
    <row r="24" spans="1:9" x14ac:dyDescent="0.25">
      <c r="B24" s="28" t="s">
        <v>789</v>
      </c>
    </row>
    <row r="25" spans="1:9" x14ac:dyDescent="0.25">
      <c r="B25" s="28" t="s">
        <v>790</v>
      </c>
    </row>
    <row r="26" spans="1:9" x14ac:dyDescent="0.25">
      <c r="B26" s="28"/>
    </row>
    <row r="27" spans="1:9" x14ac:dyDescent="0.25">
      <c r="B27" s="28"/>
    </row>
    <row r="28" spans="1:9" x14ac:dyDescent="0.25">
      <c r="B28" s="28"/>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63619-4C8E-42B3-830B-93A45F5FA4C3}">
  <sheetPr>
    <tabColor rgb="FFB5E6A2"/>
  </sheetPr>
  <dimension ref="A1:U41"/>
  <sheetViews>
    <sheetView workbookViewId="0">
      <selection activeCell="A28" sqref="A28"/>
    </sheetView>
  </sheetViews>
  <sheetFormatPr defaultRowHeight="15" x14ac:dyDescent="0.25"/>
  <cols>
    <col min="1" max="1" width="25.140625" style="25" customWidth="1"/>
    <col min="2" max="3" width="13.42578125" style="25" customWidth="1"/>
    <col min="4" max="4" width="13.42578125" style="30" customWidth="1"/>
    <col min="5" max="10" width="13.42578125" style="25" customWidth="1"/>
    <col min="11" max="11" width="11.140625" style="25" customWidth="1"/>
    <col min="12" max="12" width="25.42578125" customWidth="1"/>
    <col min="13" max="19" width="12.5703125" customWidth="1"/>
    <col min="20" max="21" width="12.28515625" customWidth="1"/>
  </cols>
  <sheetData>
    <row r="1" spans="1:21" x14ac:dyDescent="0.25">
      <c r="A1" s="59" t="s">
        <v>113</v>
      </c>
      <c r="B1" s="92"/>
    </row>
    <row r="2" spans="1:21" x14ac:dyDescent="0.25">
      <c r="A2" s="28" t="s">
        <v>114</v>
      </c>
    </row>
    <row r="3" spans="1:21" x14ac:dyDescent="0.25">
      <c r="A3" s="28"/>
    </row>
    <row r="4" spans="1:21" x14ac:dyDescent="0.25">
      <c r="A4" s="59" t="s">
        <v>791</v>
      </c>
      <c r="L4" s="59" t="s">
        <v>792</v>
      </c>
      <c r="M4" s="25"/>
      <c r="N4" s="25"/>
      <c r="O4" s="30"/>
      <c r="P4" s="25"/>
      <c r="Q4" s="25"/>
    </row>
    <row r="5" spans="1:21" s="31" customFormat="1" ht="30" x14ac:dyDescent="0.25">
      <c r="A5" s="53" t="s">
        <v>158</v>
      </c>
      <c r="B5" s="27" t="s">
        <v>478</v>
      </c>
      <c r="C5" s="27" t="s">
        <v>480</v>
      </c>
      <c r="D5" s="27" t="s">
        <v>474</v>
      </c>
      <c r="E5" s="27" t="s">
        <v>479</v>
      </c>
      <c r="F5" s="27" t="s">
        <v>476</v>
      </c>
      <c r="G5" s="27" t="s">
        <v>475</v>
      </c>
      <c r="H5" s="27" t="s">
        <v>477</v>
      </c>
      <c r="I5" s="43" t="s">
        <v>528</v>
      </c>
      <c r="J5" s="43" t="s">
        <v>529</v>
      </c>
      <c r="K5" s="54"/>
      <c r="L5" s="53" t="s">
        <v>158</v>
      </c>
      <c r="M5" s="27" t="s">
        <v>478</v>
      </c>
      <c r="N5" s="27" t="s">
        <v>480</v>
      </c>
      <c r="O5" s="27" t="s">
        <v>474</v>
      </c>
      <c r="P5" s="27" t="s">
        <v>479</v>
      </c>
      <c r="Q5" s="27" t="s">
        <v>476</v>
      </c>
      <c r="R5" s="27" t="s">
        <v>475</v>
      </c>
      <c r="S5" s="27" t="s">
        <v>477</v>
      </c>
      <c r="T5" s="43" t="s">
        <v>528</v>
      </c>
      <c r="U5" s="43" t="s">
        <v>529</v>
      </c>
    </row>
    <row r="6" spans="1:21" s="31" customFormat="1" ht="15.75" customHeight="1" x14ac:dyDescent="0.25">
      <c r="A6" s="30">
        <v>2009</v>
      </c>
      <c r="B6" s="44">
        <v>0.9217965219213482</v>
      </c>
      <c r="C6" s="44">
        <v>1.0273894600640581</v>
      </c>
      <c r="D6" s="44">
        <v>1.594170142286589</v>
      </c>
      <c r="E6" s="44">
        <v>1.2222280847398643</v>
      </c>
      <c r="F6" s="44">
        <v>1.1064075243092495</v>
      </c>
      <c r="G6" s="44">
        <v>0.49204492846704534</v>
      </c>
      <c r="H6" s="44">
        <v>1.0572663945962606</v>
      </c>
      <c r="I6" s="44">
        <v>1.3634471798546097</v>
      </c>
      <c r="J6" s="44">
        <v>1.3528282464581805</v>
      </c>
      <c r="K6" s="54"/>
      <c r="L6" s="30">
        <v>2009</v>
      </c>
      <c r="M6" s="44">
        <f>B6*'Inflation adjustment'!$F$20/214.537</f>
        <v>1.3832855761799809</v>
      </c>
      <c r="N6" s="44">
        <f>C6*'Inflation adjustment'!$F$20/214.537</f>
        <v>1.5417426595011725</v>
      </c>
      <c r="O6" s="44">
        <f>D6*'Inflation adjustment'!$F$20/214.537</f>
        <v>2.3922769411251732</v>
      </c>
      <c r="P6" s="44">
        <f>E6*'Inflation adjustment'!$F$20/214.537</f>
        <v>1.834125471528949</v>
      </c>
      <c r="Q6" s="44">
        <f>F6*'Inflation adjustment'!$F$20/214.537</f>
        <v>1.6603203997384723</v>
      </c>
      <c r="R6" s="44">
        <f>G6*'Inflation adjustment'!$F$20/214.537</f>
        <v>0.73838275171865908</v>
      </c>
      <c r="S6" s="44">
        <f>H6*'Inflation adjustment'!$F$20/214.537</f>
        <v>1.5865772098775683</v>
      </c>
      <c r="T6" s="44">
        <f>I6*'Inflation adjustment'!$F$20/214.537</f>
        <v>2.0460446236496854</v>
      </c>
      <c r="U6" s="44">
        <f>J6*'Inflation adjustment'!$F$20/214.537</f>
        <v>2.0301094177204209</v>
      </c>
    </row>
    <row r="7" spans="1:21" s="31" customFormat="1" ht="15.75" customHeight="1" x14ac:dyDescent="0.25">
      <c r="A7" s="30">
        <v>2010</v>
      </c>
      <c r="B7" s="44">
        <v>0.99450532566900751</v>
      </c>
      <c r="C7" s="44">
        <v>1.1633387075631028</v>
      </c>
      <c r="D7" s="44">
        <v>1.7386440477610408</v>
      </c>
      <c r="E7" s="44">
        <v>1.3715959765182766</v>
      </c>
      <c r="F7" s="44">
        <v>1.2288759009829686</v>
      </c>
      <c r="G7" s="44">
        <v>0.49797012315833378</v>
      </c>
      <c r="H7" s="44">
        <v>1.1924442558615749</v>
      </c>
      <c r="I7" s="44">
        <v>1.5322778888980784</v>
      </c>
      <c r="J7" s="44">
        <v>1.4342296549313061</v>
      </c>
      <c r="K7" s="54"/>
      <c r="L7" s="30">
        <v>2010</v>
      </c>
      <c r="M7" s="44">
        <f>B7*'Inflation adjustment'!$F$20/'Inflation adjustment'!$F5</f>
        <v>1.4683110213057986</v>
      </c>
      <c r="N7" s="44">
        <f>C7*'Inflation adjustment'!$F$20/'Inflation adjustment'!$F5</f>
        <v>1.7175805918158087</v>
      </c>
      <c r="O7" s="44">
        <f>D7*'Inflation adjustment'!$F$20/'Inflation adjustment'!$F5</f>
        <v>2.5669749085938141</v>
      </c>
      <c r="P7" s="44">
        <f>E7*'Inflation adjustment'!$F$20/'Inflation adjustment'!$F5</f>
        <v>2.0250565151530959</v>
      </c>
      <c r="Q7" s="44">
        <f>F7*'Inflation adjustment'!$F$20/'Inflation adjustment'!$F5</f>
        <v>1.8143412434886441</v>
      </c>
      <c r="R7" s="44">
        <f>G7*'Inflation adjustment'!$F$20/'Inflation adjustment'!$F5</f>
        <v>0.73521478592638334</v>
      </c>
      <c r="S7" s="44">
        <f>H7*'Inflation adjustment'!$F$20/'Inflation adjustment'!$F5</f>
        <v>1.760552706941533</v>
      </c>
      <c r="T7" s="44">
        <f>I7*'Inflation adjustment'!$F$20/'Inflation adjustment'!$F5</f>
        <v>2.2622910646142</v>
      </c>
      <c r="U7" s="44">
        <f>J7*'Inflation adjustment'!$F$20/'Inflation adjustment'!$F5</f>
        <v>2.1175303490734008</v>
      </c>
    </row>
    <row r="8" spans="1:21" s="31" customFormat="1" ht="15.75" customHeight="1" x14ac:dyDescent="0.25">
      <c r="A8" s="30">
        <v>2011</v>
      </c>
      <c r="B8" s="44">
        <v>0.99663657789879134</v>
      </c>
      <c r="C8" s="44">
        <v>1.3077084498859852</v>
      </c>
      <c r="D8" s="44">
        <v>1.7031299751614197</v>
      </c>
      <c r="E8" s="44">
        <v>1.4336317463102268</v>
      </c>
      <c r="F8" s="44">
        <v>1.2699346968674845</v>
      </c>
      <c r="G8" s="44">
        <v>0.95955172013093493</v>
      </c>
      <c r="H8" s="44">
        <v>1.3464176934213081</v>
      </c>
      <c r="I8" s="44">
        <v>1.5589431322407583</v>
      </c>
      <c r="J8" s="44">
        <v>1.5158905899030559</v>
      </c>
      <c r="K8" s="54"/>
      <c r="L8" s="30">
        <v>2011</v>
      </c>
      <c r="M8" s="44">
        <f>B8*'Inflation adjustment'!$F$20/'Inflation adjustment'!$F6</f>
        <v>1.4264319206472447</v>
      </c>
      <c r="N8" s="44">
        <f>C8*'Inflation adjustment'!$F$20/'Inflation adjustment'!$F6</f>
        <v>1.8716522323013962</v>
      </c>
      <c r="O8" s="44">
        <f>D8*'Inflation adjustment'!$F$20/'Inflation adjustment'!$F6</f>
        <v>2.4375976313284622</v>
      </c>
      <c r="P8" s="44">
        <f>E8*'Inflation adjustment'!$F$20/'Inflation adjustment'!$F6</f>
        <v>2.0518794219870871</v>
      </c>
      <c r="Q8" s="44">
        <f>F8*'Inflation adjustment'!$F$20/'Inflation adjustment'!$F6</f>
        <v>1.8175887067765419</v>
      </c>
      <c r="R8" s="44">
        <f>G8*'Inflation adjustment'!$F$20/'Inflation adjustment'!$F6</f>
        <v>1.3733543735595588</v>
      </c>
      <c r="S8" s="44">
        <f>H8*'Inflation adjustment'!$F$20/'Inflation adjustment'!$F6</f>
        <v>1.9270546747035249</v>
      </c>
      <c r="T8" s="44">
        <f>I8*'Inflation adjustment'!$F$20/'Inflation adjustment'!$F6</f>
        <v>2.2312308173459758</v>
      </c>
      <c r="U8" s="44">
        <f>J8*'Inflation adjustment'!$F$20/'Inflation adjustment'!$F6</f>
        <v>2.1696120467556073</v>
      </c>
    </row>
    <row r="9" spans="1:21" s="31" customFormat="1" ht="15.75" customHeight="1" x14ac:dyDescent="0.25">
      <c r="A9" s="30">
        <v>2012</v>
      </c>
      <c r="B9" s="44">
        <v>0.99196776269374898</v>
      </c>
      <c r="C9" s="44">
        <v>1.269458525906763</v>
      </c>
      <c r="D9" s="44">
        <v>2.1882423792974213</v>
      </c>
      <c r="E9" s="44">
        <v>1.5096460998743986</v>
      </c>
      <c r="F9" s="44">
        <v>1.2567179308347085</v>
      </c>
      <c r="G9" s="44">
        <v>0.59544469769180353</v>
      </c>
      <c r="H9" s="44">
        <v>1.4619010513500559</v>
      </c>
      <c r="I9" s="44">
        <v>1.6752679645394359</v>
      </c>
      <c r="J9" s="44">
        <v>1.6126217049473739</v>
      </c>
      <c r="K9" s="54"/>
      <c r="L9" s="30">
        <v>2012</v>
      </c>
      <c r="M9" s="44">
        <f>B9*'Inflation adjustment'!$F$20/'Inflation adjustment'!$F7</f>
        <v>1.3909643868085124</v>
      </c>
      <c r="N9" s="44">
        <f>C9*'Inflation adjustment'!$F$20/'Inflation adjustment'!$F7</f>
        <v>1.7800695410420178</v>
      </c>
      <c r="O9" s="44">
        <f>D9*'Inflation adjustment'!$F$20/'Inflation adjustment'!$F7</f>
        <v>3.0684134442457109</v>
      </c>
      <c r="P9" s="44">
        <f>E9*'Inflation adjustment'!$F$20/'Inflation adjustment'!$F7</f>
        <v>2.1168671408306117</v>
      </c>
      <c r="Q9" s="44">
        <f>F9*'Inflation adjustment'!$F$20/'Inflation adjustment'!$F7</f>
        <v>1.7622043294106924</v>
      </c>
      <c r="R9" s="44">
        <f>G9*'Inflation adjustment'!$F$20/'Inflation adjustment'!$F7</f>
        <v>0.83494887631642078</v>
      </c>
      <c r="S9" s="44">
        <f>H9*'Inflation adjustment'!$F$20/'Inflation adjustment'!$F7</f>
        <v>2.0499177250920804</v>
      </c>
      <c r="T9" s="44">
        <f>I9*'Inflation adjustment'!$F$20/'Inflation adjustment'!$F7</f>
        <v>2.349106659179768</v>
      </c>
      <c r="U9" s="44">
        <f>J9*'Inflation adjustment'!$F$20/'Inflation adjustment'!$F7</f>
        <v>2.2612623568380377</v>
      </c>
    </row>
    <row r="10" spans="1:21" s="31" customFormat="1" ht="15.75" customHeight="1" x14ac:dyDescent="0.25">
      <c r="A10" s="30">
        <v>2013</v>
      </c>
      <c r="B10" s="44">
        <v>1.1494426855703468</v>
      </c>
      <c r="C10" s="44">
        <v>1.4051748931902552</v>
      </c>
      <c r="D10" s="44">
        <v>1.9193670533661069</v>
      </c>
      <c r="E10" s="44">
        <v>1.3663424871689731</v>
      </c>
      <c r="F10" s="44">
        <v>1.31928576858629</v>
      </c>
      <c r="G10" s="44">
        <v>0.60076624415774627</v>
      </c>
      <c r="H10" s="44">
        <v>1.5084135855694445</v>
      </c>
      <c r="I10" s="44">
        <v>1.6837996949740273</v>
      </c>
      <c r="J10" s="44">
        <v>1.7202695102771821</v>
      </c>
      <c r="K10" s="54"/>
      <c r="L10" s="30">
        <v>2013</v>
      </c>
      <c r="M10" s="44">
        <f>B10*'Inflation adjustment'!$F$20/'Inflation adjustment'!$F8</f>
        <v>1.5885121568382754</v>
      </c>
      <c r="N10" s="44">
        <f>C10*'Inflation adjustment'!$F$20/'Inflation adjustment'!$F8</f>
        <v>1.9419301443543244</v>
      </c>
      <c r="O10" s="44">
        <f>D10*'Inflation adjustment'!$F$20/'Inflation adjustment'!$F8</f>
        <v>2.6525358210392671</v>
      </c>
      <c r="P10" s="44">
        <f>E10*'Inflation adjustment'!$F$20/'Inflation adjustment'!$F8</f>
        <v>1.8882643549953027</v>
      </c>
      <c r="Q10" s="44">
        <f>F10*'Inflation adjustment'!$F$20/'Inflation adjustment'!$F8</f>
        <v>1.8232326918528998</v>
      </c>
      <c r="R10" s="44">
        <f>G10*'Inflation adjustment'!$F$20/'Inflation adjustment'!$F8</f>
        <v>0.83024973253809631</v>
      </c>
      <c r="S10" s="44">
        <f>H10*'Inflation adjustment'!$F$20/'Inflation adjustment'!$F8</f>
        <v>2.0846044333459979</v>
      </c>
      <c r="T10" s="44">
        <f>I10*'Inflation adjustment'!$F$20/'Inflation adjustment'!$F8</f>
        <v>2.3269853457892369</v>
      </c>
      <c r="U10" s="44">
        <f>J10*'Inflation adjustment'!$F$20/'Inflation adjustment'!$F8</f>
        <v>2.3773860710224071</v>
      </c>
    </row>
    <row r="11" spans="1:21" s="31" customFormat="1" ht="15.75" customHeight="1" x14ac:dyDescent="0.25">
      <c r="A11" s="30">
        <v>2014</v>
      </c>
      <c r="B11" s="44">
        <v>1.0344078812750968</v>
      </c>
      <c r="C11" s="44">
        <v>1.442775167776817</v>
      </c>
      <c r="D11" s="44">
        <v>2.337961135274091</v>
      </c>
      <c r="E11" s="44">
        <v>1.4630643947554933</v>
      </c>
      <c r="F11" s="44">
        <v>1.3718114225913092</v>
      </c>
      <c r="G11" s="44">
        <v>0.63374131079272855</v>
      </c>
      <c r="H11" s="44">
        <v>1.5234310373813762</v>
      </c>
      <c r="I11" s="44">
        <v>1.7565969226379363</v>
      </c>
      <c r="J11" s="44">
        <v>1.7942656365403398</v>
      </c>
      <c r="K11" s="54"/>
      <c r="L11" s="30">
        <v>2014</v>
      </c>
      <c r="M11" s="44">
        <f>B11*'Inflation adjustment'!$F$20/'Inflation adjustment'!$F9</f>
        <v>1.4067162430781481</v>
      </c>
      <c r="N11" s="44">
        <f>C11*'Inflation adjustment'!$F$20/'Inflation adjustment'!$F9</f>
        <v>1.9620647718960014</v>
      </c>
      <c r="O11" s="44">
        <f>D11*'Inflation adjustment'!$F$20/'Inflation adjustment'!$F9</f>
        <v>3.1794497743205374</v>
      </c>
      <c r="P11" s="44">
        <f>E11*'Inflation adjustment'!$F$20/'Inflation adjustment'!$F9</f>
        <v>1.9896565813427944</v>
      </c>
      <c r="Q11" s="44">
        <f>F11*'Inflation adjustment'!$F$20/'Inflation adjustment'!$F9</f>
        <v>1.8655594621152416</v>
      </c>
      <c r="R11" s="44">
        <f>G11*'Inflation adjustment'!$F$20/'Inflation adjustment'!$F9</f>
        <v>0.86184010383103293</v>
      </c>
      <c r="S11" s="44">
        <f>H11*'Inflation adjustment'!$F$20/'Inflation adjustment'!$F9</f>
        <v>2.0717506355926956</v>
      </c>
      <c r="T11" s="44">
        <f>I11*'Inflation adjustment'!$F$20/'Inflation adjustment'!$F9</f>
        <v>2.3888385503887246</v>
      </c>
      <c r="U11" s="44">
        <f>J11*'Inflation adjustment'!$F$20/'Inflation adjustment'!$F9</f>
        <v>2.4400651435552962</v>
      </c>
    </row>
    <row r="12" spans="1:21" s="31" customFormat="1" ht="15.75" customHeight="1" x14ac:dyDescent="0.25">
      <c r="A12" s="30">
        <v>2015</v>
      </c>
      <c r="B12" s="44">
        <v>1.1274304646559248</v>
      </c>
      <c r="C12" s="44">
        <v>1.4925257140470809</v>
      </c>
      <c r="D12" s="44">
        <v>2.1236641550801361</v>
      </c>
      <c r="E12" s="44">
        <v>1.4955313070306904</v>
      </c>
      <c r="F12" s="44">
        <v>1.3924647993927881</v>
      </c>
      <c r="G12" s="44">
        <v>0.6200302724628558</v>
      </c>
      <c r="H12" s="44">
        <v>1.5508853569202006</v>
      </c>
      <c r="I12" s="44">
        <v>1.7763007882833497</v>
      </c>
      <c r="J12" s="44">
        <v>1.8535449712603302</v>
      </c>
      <c r="K12" s="54"/>
      <c r="L12" s="30">
        <v>2015</v>
      </c>
      <c r="M12" s="44">
        <f>B12*'Inflation adjustment'!$F$20/'Inflation adjustment'!$F10</f>
        <v>1.5314021613754387</v>
      </c>
      <c r="N12" s="44">
        <f>C12*'Inflation adjustment'!$F$20/'Inflation adjustment'!$F10</f>
        <v>2.0273153653850118</v>
      </c>
      <c r="O12" s="44">
        <f>D12*'Inflation adjustment'!$F$20/'Inflation adjustment'!$F10</f>
        <v>2.8845981894925861</v>
      </c>
      <c r="P12" s="44">
        <f>E12*'Inflation adjustment'!$F$20/'Inflation adjustment'!$F10</f>
        <v>2.031397897954077</v>
      </c>
      <c r="Q12" s="44">
        <f>F12*'Inflation adjustment'!$F$20/'Inflation adjustment'!$F10</f>
        <v>1.8914014391833176</v>
      </c>
      <c r="R12" s="44">
        <f>G12*'Inflation adjustment'!$F$20/'Inflation adjustment'!$F10</f>
        <v>0.84219446709522605</v>
      </c>
      <c r="S12" s="44">
        <f>H12*'Inflation adjustment'!$F$20/'Inflation adjustment'!$F10</f>
        <v>2.1065859599225378</v>
      </c>
      <c r="T12" s="44">
        <f>I12*'Inflation adjustment'!$F$20/'Inflation adjustment'!$F10</f>
        <v>2.4127704117523487</v>
      </c>
      <c r="U12" s="44">
        <f>J12*'Inflation adjustment'!$F$20/'Inflation adjustment'!$F10</f>
        <v>2.5176921009145525</v>
      </c>
    </row>
    <row r="13" spans="1:21" s="31" customFormat="1" ht="15.75" customHeight="1" x14ac:dyDescent="0.25">
      <c r="A13" s="30">
        <v>2016</v>
      </c>
      <c r="B13" s="44">
        <v>1.0842327027616094</v>
      </c>
      <c r="C13" s="44">
        <v>1.6244277423085556</v>
      </c>
      <c r="D13" s="44">
        <v>2.5432845589690509</v>
      </c>
      <c r="E13" s="44">
        <v>1.5522763907836958</v>
      </c>
      <c r="F13" s="44">
        <v>1.6313054705322485</v>
      </c>
      <c r="G13" s="44">
        <v>0.67009297055696526</v>
      </c>
      <c r="H13" s="44">
        <v>1.6882816925715487</v>
      </c>
      <c r="I13" s="44">
        <v>1.8999795371869121</v>
      </c>
      <c r="J13" s="44">
        <v>1.9783178494106732</v>
      </c>
      <c r="K13" s="54"/>
      <c r="L13" s="30">
        <v>2016</v>
      </c>
      <c r="M13" s="44">
        <f>B13*'Inflation adjustment'!$F$20/'Inflation adjustment'!$F11</f>
        <v>1.4543789515521666</v>
      </c>
      <c r="N13" s="44">
        <f>C13*'Inflation adjustment'!$F$20/'Inflation adjustment'!$F11</f>
        <v>2.1789911987652162</v>
      </c>
      <c r="O13" s="44">
        <f>D13*'Inflation adjustment'!$F$20/'Inflation adjustment'!$F11</f>
        <v>3.4115365833837061</v>
      </c>
      <c r="P13" s="44">
        <f>E13*'Inflation adjustment'!$F$20/'Inflation adjustment'!$F11</f>
        <v>2.0822080942558983</v>
      </c>
      <c r="Q13" s="44">
        <f>F13*'Inflation adjustment'!$F$20/'Inflation adjustment'!$F11</f>
        <v>2.1882169149214965</v>
      </c>
      <c r="R13" s="44">
        <f>G13*'Inflation adjustment'!$F$20/'Inflation adjustment'!$F11</f>
        <v>0.89885603844896633</v>
      </c>
      <c r="S13" s="44">
        <f>H13*'Inflation adjustment'!$F$20/'Inflation adjustment'!$F11</f>
        <v>2.2646442518408296</v>
      </c>
      <c r="T13" s="44">
        <f>I13*'Inflation adjustment'!$F$20/'Inflation adjustment'!$F11</f>
        <v>2.5486136326880717</v>
      </c>
      <c r="U13" s="44">
        <f>J13*'Inflation adjustment'!$F$20/'Inflation adjustment'!$F11</f>
        <v>2.6536958646740314</v>
      </c>
    </row>
    <row r="14" spans="1:21" s="31" customFormat="1" ht="15.75" customHeight="1" x14ac:dyDescent="0.25">
      <c r="A14" s="30">
        <v>2017</v>
      </c>
      <c r="B14" s="44">
        <v>1.3358950885501379</v>
      </c>
      <c r="C14" s="44">
        <v>1.7906652899749806</v>
      </c>
      <c r="D14" s="44">
        <v>2.3372041427672006</v>
      </c>
      <c r="E14" s="44">
        <v>1.6246985511374943</v>
      </c>
      <c r="F14" s="44">
        <v>1.5525237460979759</v>
      </c>
      <c r="G14" s="44">
        <v>0.7984764607921524</v>
      </c>
      <c r="H14" s="44">
        <v>1.7031499838583604</v>
      </c>
      <c r="I14" s="44">
        <v>1.959032273182294</v>
      </c>
      <c r="J14" s="44">
        <v>2.1627215269181983</v>
      </c>
      <c r="K14" s="54"/>
      <c r="L14" s="30">
        <v>2017</v>
      </c>
      <c r="M14" s="44">
        <f>B14*'Inflation adjustment'!$F$20/'Inflation adjustment'!$F12</f>
        <v>1.7545776456147888</v>
      </c>
      <c r="N14" s="44">
        <f>C14*'Inflation adjustment'!$F$20/'Inflation adjustment'!$F12</f>
        <v>2.351877266034657</v>
      </c>
      <c r="O14" s="44">
        <f>D14*'Inflation adjustment'!$F$20/'Inflation adjustment'!$F12</f>
        <v>3.0697067286835051</v>
      </c>
      <c r="P14" s="44">
        <f>E14*'Inflation adjustment'!$F$20/'Inflation adjustment'!$F12</f>
        <v>2.133894931661465</v>
      </c>
      <c r="Q14" s="44">
        <f>F14*'Inflation adjustment'!$F$20/'Inflation adjustment'!$F12</f>
        <v>2.0390998384057628</v>
      </c>
      <c r="R14" s="44">
        <f>G14*'Inflation adjustment'!$F$20/'Inflation adjustment'!$F12</f>
        <v>1.0487267755254892</v>
      </c>
      <c r="S14" s="44">
        <f>H14*'Inflation adjustment'!$F$20/'Inflation adjustment'!$F12</f>
        <v>2.2369338089642299</v>
      </c>
      <c r="T14" s="44">
        <f>I14*'Inflation adjustment'!$F$20/'Inflation adjustment'!$F12</f>
        <v>2.5730121047859305</v>
      </c>
      <c r="U14" s="44">
        <f>J14*'Inflation adjustment'!$F$20/'Inflation adjustment'!$F12</f>
        <v>2.8405395583413244</v>
      </c>
    </row>
    <row r="15" spans="1:21" s="31" customFormat="1" ht="15.75" customHeight="1" x14ac:dyDescent="0.25">
      <c r="A15" s="30">
        <v>2018</v>
      </c>
      <c r="B15" s="44">
        <v>1.427581859424391</v>
      </c>
      <c r="C15" s="44">
        <v>1.7920258186524369</v>
      </c>
      <c r="D15" s="44">
        <v>-2.67104122560248</v>
      </c>
      <c r="E15" s="44">
        <v>1.612323600628311</v>
      </c>
      <c r="F15" s="44">
        <v>1.7605755620739429</v>
      </c>
      <c r="G15" s="44">
        <v>0.66658235703767321</v>
      </c>
      <c r="H15" s="44">
        <v>1.7020989630599157</v>
      </c>
      <c r="I15" s="44">
        <v>1.9596985793273296</v>
      </c>
      <c r="J15" s="44">
        <v>2.1478737223016164</v>
      </c>
      <c r="K15" s="54"/>
      <c r="L15" s="30">
        <v>2018</v>
      </c>
      <c r="M15" s="44">
        <f>B15*'Inflation adjustment'!$F$20/'Inflation adjustment'!$F13</f>
        <v>1.8302953982512105</v>
      </c>
      <c r="N15" s="44">
        <f>C15*'Inflation adjustment'!$F$20/'Inflation adjustment'!$F13</f>
        <v>2.2975471338290907</v>
      </c>
      <c r="O15" s="44">
        <f>D15*'Inflation adjustment'!$F$20/'Inflation adjustment'!$F13</f>
        <v>-3.4245282899088405</v>
      </c>
      <c r="P15" s="44">
        <f>E15*'Inflation adjustment'!$F$20/'Inflation adjustment'!$F13</f>
        <v>2.0671518394830901</v>
      </c>
      <c r="Q15" s="44">
        <f>F15*'Inflation adjustment'!$F$20/'Inflation adjustment'!$F13</f>
        <v>2.2572249207738988</v>
      </c>
      <c r="R15" s="44">
        <f>G15*'Inflation adjustment'!$F$20/'Inflation adjustment'!$F13</f>
        <v>0.85462182962553668</v>
      </c>
      <c r="S15" s="44">
        <f>H15*'Inflation adjustment'!$F$20/'Inflation adjustment'!$F13</f>
        <v>2.1822523723528153</v>
      </c>
      <c r="T15" s="44">
        <f>I15*'Inflation adjustment'!$F$20/'Inflation adjustment'!$F13</f>
        <v>2.512519522452096</v>
      </c>
      <c r="U15" s="44">
        <f>J15*'Inflation adjustment'!$F$20/'Inflation adjustment'!$F13</f>
        <v>2.7537779105279792</v>
      </c>
    </row>
    <row r="16" spans="1:21" ht="15.75" customHeight="1" x14ac:dyDescent="0.25">
      <c r="A16" s="30">
        <v>2019</v>
      </c>
      <c r="B16" s="44">
        <v>1.4809820836498844</v>
      </c>
      <c r="C16" s="44">
        <v>1.9515094025540425</v>
      </c>
      <c r="D16" s="44">
        <v>-1.9725059638283347</v>
      </c>
      <c r="E16" s="44">
        <v>1.7507354637367014</v>
      </c>
      <c r="F16" s="44">
        <v>1.8616773850957951</v>
      </c>
      <c r="G16" s="44">
        <v>0.6752834210186347</v>
      </c>
      <c r="H16" s="44">
        <v>1.8942972066157466</v>
      </c>
      <c r="I16" s="44">
        <v>1.9210865930392462</v>
      </c>
      <c r="J16" s="44">
        <v>2.250434813210394</v>
      </c>
      <c r="K16" s="44"/>
      <c r="L16" s="30">
        <v>2019</v>
      </c>
      <c r="M16" s="44">
        <f>B16*'Inflation adjustment'!$F$20/'Inflation adjustment'!$F14</f>
        <v>1.8649667912730521</v>
      </c>
      <c r="N16" s="44">
        <f>C16*'Inflation adjustment'!$F$20/'Inflation adjustment'!$F14</f>
        <v>2.4574910586702341</v>
      </c>
      <c r="O16" s="44">
        <f>D16*'Inflation adjustment'!$F$20/'Inflation adjustment'!$F14</f>
        <v>-2.4839315470055015</v>
      </c>
      <c r="P16" s="44">
        <f>E16*'Inflation adjustment'!$F$20/'Inflation adjustment'!$F14</f>
        <v>2.2046610396030024</v>
      </c>
      <c r="Q16" s="44">
        <f>F16*'Inflation adjustment'!$F$20/'Inflation adjustment'!$F14</f>
        <v>2.3443676581900572</v>
      </c>
      <c r="R16" s="44">
        <f>G16*'Inflation adjustment'!$F$20/'Inflation adjustment'!$F14</f>
        <v>0.85036893342643571</v>
      </c>
      <c r="S16" s="44">
        <f>H16*'Inflation adjustment'!$F$20/'Inflation adjustment'!$F14</f>
        <v>2.3854450517274839</v>
      </c>
      <c r="T16" s="44">
        <f>I16*'Inflation adjustment'!$F$20/'Inflation adjustment'!$F14</f>
        <v>2.4191803119915902</v>
      </c>
      <c r="U16" s="44">
        <f>J16*'Inflation adjustment'!$F$20/'Inflation adjustment'!$F14</f>
        <v>2.8339209764230739</v>
      </c>
    </row>
    <row r="17" spans="1:21" ht="15.75" customHeight="1" x14ac:dyDescent="0.25">
      <c r="A17" s="30">
        <v>2020</v>
      </c>
      <c r="B17" s="44">
        <v>1.5422588981059142</v>
      </c>
      <c r="C17" s="44">
        <v>2.0551436468315143</v>
      </c>
      <c r="D17" s="44">
        <v>1.6629706078993096</v>
      </c>
      <c r="E17" s="44">
        <v>1.7524435468010975</v>
      </c>
      <c r="F17" s="44">
        <v>2.1449975780781201</v>
      </c>
      <c r="G17" s="44">
        <v>0.70951892555825014</v>
      </c>
      <c r="H17" s="44">
        <v>2.0583225036566462</v>
      </c>
      <c r="I17" s="44">
        <v>1.9415543372837034</v>
      </c>
      <c r="J17" s="44">
        <v>2.5728752058270055</v>
      </c>
      <c r="K17" s="44"/>
      <c r="L17" s="30">
        <v>2020</v>
      </c>
      <c r="M17" s="44">
        <f>B17*'Inflation adjustment'!$F$20/'Inflation adjustment'!$F15</f>
        <v>1.9184634982010516</v>
      </c>
      <c r="N17" s="44">
        <f>C17*'Inflation adjustment'!$F$20/'Inflation adjustment'!$F15</f>
        <v>2.5564566849626877</v>
      </c>
      <c r="O17" s="44">
        <f>D17*'Inflation adjustment'!$F$20/'Inflation adjustment'!$F15</f>
        <v>2.0686205239303099</v>
      </c>
      <c r="P17" s="44">
        <f>E17*'Inflation adjustment'!$F$20/'Inflation adjustment'!$F15</f>
        <v>2.1799186772887773</v>
      </c>
      <c r="Q17" s="44">
        <f>F17*'Inflation adjustment'!$F$20/'Inflation adjustment'!$F15</f>
        <v>2.6682287664713025</v>
      </c>
      <c r="R17" s="44">
        <f>G17*'Inflation adjustment'!$F$20/'Inflation adjustment'!$F15</f>
        <v>0.88259251519834836</v>
      </c>
      <c r="S17" s="44">
        <f>H17*'Inflation adjustment'!$F$20/'Inflation adjustment'!$F15</f>
        <v>2.5604109631921812</v>
      </c>
      <c r="T17" s="44">
        <f>I17*'Inflation adjustment'!$F$20/'Inflation adjustment'!$F15</f>
        <v>2.415159432976679</v>
      </c>
      <c r="U17" s="44">
        <f>J17*'Inflation adjustment'!$F$20/'Inflation adjustment'!$F15</f>
        <v>3.2004789687824844</v>
      </c>
    </row>
    <row r="18" spans="1:21" ht="15.75" customHeight="1" x14ac:dyDescent="0.25">
      <c r="A18" s="30">
        <v>2021</v>
      </c>
      <c r="B18" s="44">
        <v>1.5303406511362232</v>
      </c>
      <c r="C18" s="44">
        <v>2.1901071276048962</v>
      </c>
      <c r="D18" s="44">
        <v>1.6029914695849845</v>
      </c>
      <c r="E18" s="44">
        <v>1.8623324564973387</v>
      </c>
      <c r="F18" s="44">
        <v>2.1288845591258387</v>
      </c>
      <c r="G18" s="44">
        <v>0.75087105226315831</v>
      </c>
      <c r="H18" s="44">
        <v>2.1622296484050607</v>
      </c>
      <c r="I18" s="44">
        <v>2.0695648087225762</v>
      </c>
      <c r="J18" s="44">
        <v>2.6813432927755052</v>
      </c>
      <c r="K18" s="44"/>
      <c r="L18" s="30">
        <v>2021</v>
      </c>
      <c r="M18" s="44">
        <f>B18*'Inflation adjustment'!$F$20/'Inflation adjustment'!$F16</f>
        <v>1.8182177371987638</v>
      </c>
      <c r="N18" s="44">
        <f>C18*'Inflation adjustment'!$F$20/'Inflation adjustment'!$F16</f>
        <v>2.6020949145016168</v>
      </c>
      <c r="O18" s="44">
        <f>D18*'Inflation adjustment'!$F$20/'Inflation adjustment'!$F16</f>
        <v>1.9045351245252189</v>
      </c>
      <c r="P18" s="44">
        <f>E18*'Inflation adjustment'!$F$20/'Inflation adjustment'!$F16</f>
        <v>2.2126615420235547</v>
      </c>
      <c r="Q18" s="44">
        <f>F18*'Inflation adjustment'!$F$20/'Inflation adjustment'!$F16</f>
        <v>2.5293555803913708</v>
      </c>
      <c r="R18" s="44">
        <f>G18*'Inflation adjustment'!$F$20/'Inflation adjustment'!$F16</f>
        <v>0.89211971501921961</v>
      </c>
      <c r="S18" s="44">
        <f>H18*'Inflation adjustment'!$F$20/'Inflation adjustment'!$F16</f>
        <v>2.5689733169593327</v>
      </c>
      <c r="T18" s="44">
        <f>I18*'Inflation adjustment'!$F$20/'Inflation adjustment'!$F16</f>
        <v>2.4588770093167964</v>
      </c>
      <c r="U18" s="44">
        <f>J18*'Inflation adjustment'!$F$20/'Inflation adjustment'!$F16</f>
        <v>3.1857390253755926</v>
      </c>
    </row>
    <row r="19" spans="1:21" ht="15.75" customHeight="1" x14ac:dyDescent="0.25">
      <c r="A19" s="30">
        <v>2022</v>
      </c>
      <c r="B19" s="44">
        <v>1.6330025629797553</v>
      </c>
      <c r="C19" s="44">
        <v>2.1211652759794228</v>
      </c>
      <c r="D19" s="44">
        <v>2.9454869367703993</v>
      </c>
      <c r="E19" s="44">
        <v>2.0025241942288727</v>
      </c>
      <c r="F19" s="44">
        <v>2.3022785605755045</v>
      </c>
      <c r="G19" s="44">
        <v>0.82665154480616532</v>
      </c>
      <c r="H19" s="44">
        <v>2.1885547847239684</v>
      </c>
      <c r="I19" s="44">
        <v>2.0556366505362358</v>
      </c>
      <c r="J19" s="44">
        <v>2.9010671996533284</v>
      </c>
      <c r="K19" s="44"/>
      <c r="L19" s="30">
        <v>2022</v>
      </c>
      <c r="M19" s="44">
        <f>B19*'Inflation adjustment'!$F$20/'Inflation adjustment'!$F17</f>
        <v>1.7964283683292321</v>
      </c>
      <c r="N19" s="44">
        <f>C19*'Inflation adjustment'!$F$20/'Inflation adjustment'!$F17</f>
        <v>2.3334448837185198</v>
      </c>
      <c r="O19" s="44">
        <f>D19*'Inflation adjustment'!$F$20/'Inflation adjustment'!$F17</f>
        <v>3.240262086363372</v>
      </c>
      <c r="P19" s="44">
        <f>E19*'Inflation adjustment'!$F$20/'Inflation adjustment'!$F17</f>
        <v>2.202930572389421</v>
      </c>
      <c r="Q19" s="44">
        <f>F19*'Inflation adjustment'!$F$20/'Inflation adjustment'!$F17</f>
        <v>2.5326834211865838</v>
      </c>
      <c r="R19" s="44">
        <f>G19*'Inflation adjustment'!$F$20/'Inflation adjustment'!$F17</f>
        <v>0.90938025418848578</v>
      </c>
      <c r="S19" s="44">
        <f>H19*'Inflation adjustment'!$F$20/'Inflation adjustment'!$F17</f>
        <v>2.407578524400364</v>
      </c>
      <c r="T19" s="44">
        <f>I19*'Inflation adjustment'!$F$20/'Inflation adjustment'!$F17</f>
        <v>2.2613583577372243</v>
      </c>
      <c r="U19" s="44">
        <f>J19*'Inflation adjustment'!$F$20/'Inflation adjustment'!$F17</f>
        <v>3.1913969604414465</v>
      </c>
    </row>
    <row r="20" spans="1:21" ht="15.75" customHeight="1" x14ac:dyDescent="0.25">
      <c r="A20" s="30">
        <v>2023</v>
      </c>
      <c r="B20" s="44">
        <v>1.7728000808476401</v>
      </c>
      <c r="C20" s="44">
        <v>2.4365583705855589</v>
      </c>
      <c r="D20" s="44">
        <v>3.823756650599059</v>
      </c>
      <c r="E20" s="44">
        <v>2.4071490028336759</v>
      </c>
      <c r="F20" s="44">
        <v>2.6194324864914189</v>
      </c>
      <c r="G20" s="44">
        <v>0.86414599675649806</v>
      </c>
      <c r="H20" s="44">
        <v>2.3251885515236723</v>
      </c>
      <c r="I20" s="44">
        <v>1.5322618010109097</v>
      </c>
      <c r="J20" s="44">
        <v>3.2037219990939971</v>
      </c>
      <c r="K20" s="44"/>
      <c r="L20" s="30">
        <v>2023</v>
      </c>
      <c r="M20" s="44">
        <f>B20*'Inflation adjustment'!$F$20/'Inflation adjustment'!$F18</f>
        <v>1.8731106997273788</v>
      </c>
      <c r="N20" s="44">
        <f>C20*'Inflation adjustment'!$F$20/'Inflation adjustment'!$F18</f>
        <v>2.5744265265781867</v>
      </c>
      <c r="O20" s="44">
        <f>D20*'Inflation adjustment'!$F$20/'Inflation adjustment'!$F18</f>
        <v>4.0401168596327324</v>
      </c>
      <c r="P20" s="44">
        <f>E20*'Inflation adjustment'!$F$20/'Inflation adjustment'!$F18</f>
        <v>2.5433530840601049</v>
      </c>
      <c r="Q20" s="44">
        <f>F20*'Inflation adjustment'!$F$20/'Inflation adjustment'!$F18</f>
        <v>2.7676482366328639</v>
      </c>
      <c r="R20" s="44">
        <f>G20*'Inflation adjustment'!$F$20/'Inflation adjustment'!$F18</f>
        <v>0.91304210223030124</v>
      </c>
      <c r="S20" s="44">
        <f>H20*'Inflation adjustment'!$F$20/'Inflation adjustment'!$F18</f>
        <v>2.4567550519628543</v>
      </c>
      <c r="T20" s="44">
        <f>I20*'Inflation adjustment'!$F$20/'Inflation adjustment'!$F18</f>
        <v>1.6189620055098268</v>
      </c>
      <c r="U20" s="44">
        <f>J20*'Inflation adjustment'!$F$20/'Inflation adjustment'!$F18</f>
        <v>3.3849986923430722</v>
      </c>
    </row>
    <row r="21" spans="1:21" ht="15.75" customHeight="1" x14ac:dyDescent="0.25">
      <c r="A21" s="30">
        <v>2024</v>
      </c>
      <c r="B21" s="44">
        <v>1.9328813756478507</v>
      </c>
      <c r="C21" s="44">
        <v>2.5174974566268089</v>
      </c>
      <c r="D21" s="44">
        <v>4.0903315472533652</v>
      </c>
      <c r="E21" s="44">
        <v>2.6314481314945959</v>
      </c>
      <c r="F21" s="44">
        <v>2.583427560291879</v>
      </c>
      <c r="G21" s="44">
        <v>0.95844264164206261</v>
      </c>
      <c r="H21" s="44">
        <v>2.4218531760200732</v>
      </c>
      <c r="I21" s="44">
        <v>2.1009055257555236</v>
      </c>
      <c r="J21" s="44">
        <v>3.4861862262769652</v>
      </c>
      <c r="K21" s="44"/>
      <c r="L21" s="30">
        <v>2024</v>
      </c>
      <c r="M21" s="44">
        <f>B21*'Inflation adjustment'!$F$20/'Inflation adjustment'!$F19</f>
        <v>1.9837406753829299</v>
      </c>
      <c r="N21" s="44">
        <f>C21*'Inflation adjustment'!$F$20/'Inflation adjustment'!$F19</f>
        <v>2.5837395754355574</v>
      </c>
      <c r="O21" s="44">
        <f>D21*'Inflation adjustment'!$F$20/'Inflation adjustment'!$F19</f>
        <v>4.1979591548233754</v>
      </c>
      <c r="P21" s="44">
        <f>E21*'Inflation adjustment'!$F$20/'Inflation adjustment'!$F19</f>
        <v>2.700688598572996</v>
      </c>
      <c r="Q21" s="44">
        <f>F21*'Inflation adjustment'!$F$20/'Inflation adjustment'!$F19</f>
        <v>2.651404477182969</v>
      </c>
      <c r="R21" s="44">
        <f>G21*'Inflation adjustment'!$F$20/'Inflation adjustment'!$F19</f>
        <v>0.98366184143585056</v>
      </c>
      <c r="S21" s="44">
        <f>H21*'Inflation adjustment'!$F$20/'Inflation adjustment'!$F19</f>
        <v>2.4855786369538948</v>
      </c>
      <c r="T21" s="44">
        <f>I21*'Inflation adjustment'!$F$20/'Inflation adjustment'!$F19</f>
        <v>2.1561859921078215</v>
      </c>
      <c r="U21" s="44">
        <f>J21*'Inflation adjustment'!$F$20/'Inflation adjustment'!$F19</f>
        <v>3.5779171480233125</v>
      </c>
    </row>
    <row r="22" spans="1:21" ht="15.75" customHeight="1" x14ac:dyDescent="0.25">
      <c r="A22" s="30">
        <v>2025</v>
      </c>
      <c r="B22" s="44" t="s">
        <v>530</v>
      </c>
      <c r="C22" s="44" t="s">
        <v>530</v>
      </c>
      <c r="D22" s="44" t="s">
        <v>530</v>
      </c>
      <c r="E22" s="44" t="s">
        <v>530</v>
      </c>
      <c r="F22" s="44" t="s">
        <v>530</v>
      </c>
      <c r="G22" s="44" t="s">
        <v>530</v>
      </c>
      <c r="H22" s="44" t="s">
        <v>530</v>
      </c>
      <c r="I22" s="44" t="s">
        <v>530</v>
      </c>
      <c r="J22" s="44" t="s">
        <v>530</v>
      </c>
      <c r="K22" s="44"/>
      <c r="L22" s="30">
        <v>2025</v>
      </c>
      <c r="M22" s="44" t="s">
        <v>530</v>
      </c>
      <c r="N22" s="44" t="s">
        <v>530</v>
      </c>
      <c r="O22" s="44" t="s">
        <v>530</v>
      </c>
      <c r="P22" s="44" t="s">
        <v>530</v>
      </c>
      <c r="Q22" s="44" t="s">
        <v>530</v>
      </c>
      <c r="R22" s="44" t="s">
        <v>530</v>
      </c>
      <c r="S22" s="44" t="s">
        <v>530</v>
      </c>
      <c r="T22" s="44" t="s">
        <v>530</v>
      </c>
      <c r="U22" s="44" t="s">
        <v>530</v>
      </c>
    </row>
    <row r="23" spans="1:21" s="24" customFormat="1" x14ac:dyDescent="0.25">
      <c r="A23" s="59" t="s">
        <v>793</v>
      </c>
      <c r="B23" s="205">
        <f>B21-B15</f>
        <v>0.5052995162234597</v>
      </c>
      <c r="C23" s="205">
        <f>C21-C15</f>
        <v>0.72547163797437197</v>
      </c>
      <c r="D23" s="205">
        <f>D21-D14</f>
        <v>1.7531274044861647</v>
      </c>
      <c r="E23" s="205">
        <f>E21-E15</f>
        <v>1.0191245308662849</v>
      </c>
      <c r="F23" s="205">
        <f t="shared" ref="F23:J23" si="0">F21-F15</f>
        <v>0.82285199821793609</v>
      </c>
      <c r="G23" s="205">
        <f t="shared" si="0"/>
        <v>0.2918602846043894</v>
      </c>
      <c r="H23" s="205">
        <f t="shared" si="0"/>
        <v>0.71975421296015751</v>
      </c>
      <c r="I23" s="205">
        <f t="shared" si="0"/>
        <v>0.14120694642819398</v>
      </c>
      <c r="J23" s="205">
        <f t="shared" si="0"/>
        <v>1.3383125039753487</v>
      </c>
      <c r="K23" s="205"/>
      <c r="L23" s="59" t="s">
        <v>793</v>
      </c>
      <c r="M23" s="134">
        <f>M21-M15</f>
        <v>0.1534452771317194</v>
      </c>
      <c r="N23" s="134">
        <f t="shared" ref="N23:U23" si="1">N21-N15</f>
        <v>0.28619244160646673</v>
      </c>
      <c r="O23" s="134">
        <f>O21-O14</f>
        <v>1.1282524261398703</v>
      </c>
      <c r="P23" s="134">
        <f t="shared" si="1"/>
        <v>0.63353675908990592</v>
      </c>
      <c r="Q23" s="134">
        <f t="shared" si="1"/>
        <v>0.39417955640907021</v>
      </c>
      <c r="R23" s="134">
        <f t="shared" si="1"/>
        <v>0.12904001181031388</v>
      </c>
      <c r="S23" s="134">
        <f t="shared" si="1"/>
        <v>0.30332626460107948</v>
      </c>
      <c r="T23" s="134">
        <f t="shared" si="1"/>
        <v>-0.35633353034427451</v>
      </c>
      <c r="U23" s="134">
        <f t="shared" si="1"/>
        <v>0.82413923749533335</v>
      </c>
    </row>
    <row r="24" spans="1:21" ht="14.1" customHeight="1" x14ac:dyDescent="0.25">
      <c r="A24" s="30"/>
      <c r="B24" s="44"/>
      <c r="C24" s="44"/>
      <c r="D24" s="44"/>
      <c r="E24" s="44"/>
      <c r="F24" s="44"/>
      <c r="G24" s="44"/>
      <c r="H24" s="44"/>
      <c r="I24" s="44"/>
      <c r="J24" s="44"/>
      <c r="K24" s="44"/>
      <c r="L24" s="30"/>
      <c r="M24" s="44"/>
      <c r="N24" s="44"/>
      <c r="O24" s="44"/>
      <c r="P24" s="44"/>
      <c r="Q24" s="44"/>
      <c r="R24" s="44"/>
      <c r="S24" s="44"/>
      <c r="T24" s="44"/>
      <c r="U24" s="44"/>
    </row>
    <row r="25" spans="1:21" x14ac:dyDescent="0.25">
      <c r="A25" s="59" t="s">
        <v>794</v>
      </c>
      <c r="B25" s="44"/>
      <c r="C25" s="44"/>
      <c r="D25" s="44"/>
      <c r="E25" s="44"/>
      <c r="F25" s="44"/>
      <c r="G25" s="44"/>
      <c r="H25" s="44"/>
      <c r="I25" s="44"/>
      <c r="J25" s="44"/>
      <c r="K25" s="76"/>
      <c r="L25" s="59" t="s">
        <v>795</v>
      </c>
      <c r="M25" s="44"/>
      <c r="N25" s="44"/>
      <c r="O25" s="44"/>
      <c r="P25" s="44"/>
      <c r="Q25" s="44"/>
      <c r="R25" s="44"/>
      <c r="S25" s="44"/>
      <c r="T25" s="44"/>
      <c r="U25" s="44"/>
    </row>
    <row r="26" spans="1:21" x14ac:dyDescent="0.25">
      <c r="A26" s="53" t="s">
        <v>158</v>
      </c>
      <c r="B26" s="27" t="s">
        <v>796</v>
      </c>
      <c r="C26" s="27" t="s">
        <v>797</v>
      </c>
      <c r="D26" s="28"/>
      <c r="E26" s="28"/>
      <c r="F26" s="28"/>
      <c r="G26" s="28"/>
      <c r="H26" s="28"/>
      <c r="I26" s="28"/>
      <c r="J26" s="28"/>
      <c r="K26" s="28"/>
      <c r="L26" s="53" t="s">
        <v>158</v>
      </c>
      <c r="M26" s="27" t="s">
        <v>796</v>
      </c>
      <c r="N26" s="27" t="s">
        <v>797</v>
      </c>
      <c r="O26" s="197" t="s">
        <v>593</v>
      </c>
      <c r="P26" s="45"/>
      <c r="Q26" s="45"/>
      <c r="R26" s="45"/>
      <c r="S26" s="45"/>
      <c r="T26" s="45"/>
      <c r="U26" s="45"/>
    </row>
    <row r="27" spans="1:21" x14ac:dyDescent="0.25">
      <c r="A27" s="30">
        <v>2019</v>
      </c>
      <c r="B27" s="44">
        <v>0.43272375263763441</v>
      </c>
      <c r="C27" s="44">
        <v>1.004571710495761</v>
      </c>
      <c r="D27" s="28" t="s">
        <v>798</v>
      </c>
      <c r="E27" s="28"/>
      <c r="F27" s="28"/>
      <c r="G27" s="28"/>
      <c r="H27" s="28"/>
      <c r="I27" s="28"/>
      <c r="J27" s="28"/>
      <c r="K27" s="28"/>
      <c r="L27" s="30">
        <v>2019</v>
      </c>
      <c r="M27" s="44">
        <f>B27*'Inflation adjustment'!$F$20/'Inflation adjustment'!$F14</f>
        <v>0.54491910292078016</v>
      </c>
      <c r="N27" s="44">
        <f>C27*'Inflation adjustment'!$F$20/'Inflation adjustment'!$F14</f>
        <v>1.2650341285086533</v>
      </c>
      <c r="O27" s="26">
        <f>SUM(M27:N27)</f>
        <v>1.8099532314294335</v>
      </c>
      <c r="P27" s="26"/>
      <c r="Q27" s="26"/>
      <c r="R27" s="26"/>
      <c r="S27" s="26"/>
      <c r="T27" s="26"/>
      <c r="U27" s="26"/>
    </row>
    <row r="28" spans="1:21" x14ac:dyDescent="0.25">
      <c r="A28" s="30">
        <v>2025</v>
      </c>
      <c r="B28" s="44">
        <v>0.79433502606660467</v>
      </c>
      <c r="C28" s="44">
        <v>1.3179385685409983</v>
      </c>
      <c r="D28" s="28" t="s">
        <v>799</v>
      </c>
      <c r="E28" s="28"/>
      <c r="F28" s="28"/>
      <c r="G28" s="28"/>
      <c r="H28" s="28"/>
      <c r="I28" s="28"/>
      <c r="J28" s="28"/>
      <c r="K28" s="28"/>
      <c r="L28" s="30">
        <v>2025</v>
      </c>
      <c r="M28" s="44">
        <f>B28</f>
        <v>0.79433502606660467</v>
      </c>
      <c r="N28" s="44">
        <f>C28</f>
        <v>1.3179385685409983</v>
      </c>
      <c r="O28" s="26">
        <f>SUM(M28:N28)</f>
        <v>2.1122735946076032</v>
      </c>
      <c r="P28" s="26"/>
    </row>
    <row r="29" spans="1:21" x14ac:dyDescent="0.25">
      <c r="F29" s="44"/>
      <c r="O29" s="26"/>
    </row>
    <row r="30" spans="1:21" x14ac:dyDescent="0.25">
      <c r="A30" s="114" t="s">
        <v>197</v>
      </c>
      <c r="B30" t="s">
        <v>550</v>
      </c>
      <c r="D30" s="78"/>
      <c r="M30" s="26"/>
      <c r="N30" s="26"/>
      <c r="O30" s="26"/>
      <c r="P30" s="26"/>
      <c r="Q30" s="26"/>
      <c r="R30" s="26"/>
      <c r="S30" s="26"/>
      <c r="T30" s="26"/>
      <c r="U30" s="26"/>
    </row>
    <row r="31" spans="1:21" x14ac:dyDescent="0.25">
      <c r="A31" s="114"/>
      <c r="B31"/>
    </row>
    <row r="33" spans="1:2" x14ac:dyDescent="0.25">
      <c r="A33" s="114" t="s">
        <v>205</v>
      </c>
      <c r="B33" s="28" t="s">
        <v>800</v>
      </c>
    </row>
    <row r="34" spans="1:2" x14ac:dyDescent="0.25">
      <c r="B34" t="s">
        <v>569</v>
      </c>
    </row>
    <row r="35" spans="1:2" x14ac:dyDescent="0.25">
      <c r="B35" t="s">
        <v>801</v>
      </c>
    </row>
    <row r="36" spans="1:2" x14ac:dyDescent="0.25">
      <c r="B36" t="s">
        <v>802</v>
      </c>
    </row>
    <row r="37" spans="1:2" x14ac:dyDescent="0.25">
      <c r="B37" s="28" t="s">
        <v>488</v>
      </c>
    </row>
    <row r="38" spans="1:2" x14ac:dyDescent="0.25">
      <c r="B38" s="28"/>
    </row>
    <row r="39" spans="1:2" x14ac:dyDescent="0.25">
      <c r="B39"/>
    </row>
    <row r="40" spans="1:2" x14ac:dyDescent="0.25">
      <c r="B40"/>
    </row>
    <row r="41" spans="1:2" x14ac:dyDescent="0.25">
      <c r="B41" s="28"/>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D2B0F-7243-4A6F-8324-F9916329C4E6}">
  <sheetPr>
    <tabColor theme="9" tint="0.59999389629810485"/>
  </sheetPr>
  <dimension ref="A1:Q25"/>
  <sheetViews>
    <sheetView workbookViewId="0"/>
  </sheetViews>
  <sheetFormatPr defaultRowHeight="15" x14ac:dyDescent="0.25"/>
  <cols>
    <col min="1" max="1" width="8.140625" style="25" customWidth="1"/>
    <col min="2" max="3" width="9.85546875" style="25" customWidth="1"/>
    <col min="4" max="4" width="12.42578125" style="25" customWidth="1"/>
    <col min="5" max="5" width="6" style="25" customWidth="1"/>
    <col min="6" max="6" width="7.28515625" style="81" customWidth="1"/>
    <col min="7" max="9" width="11.5703125" customWidth="1"/>
    <col min="11" max="12" width="13" customWidth="1"/>
    <col min="15" max="17" width="11.7109375" customWidth="1"/>
  </cols>
  <sheetData>
    <row r="1" spans="1:17" x14ac:dyDescent="0.25">
      <c r="A1" s="59" t="s">
        <v>115</v>
      </c>
    </row>
    <row r="2" spans="1:17" x14ac:dyDescent="0.25">
      <c r="A2" s="28" t="s">
        <v>116</v>
      </c>
    </row>
    <row r="3" spans="1:17" x14ac:dyDescent="0.25">
      <c r="A3" s="28"/>
    </row>
    <row r="4" spans="1:17" x14ac:dyDescent="0.25">
      <c r="A4" s="191" t="s">
        <v>371</v>
      </c>
      <c r="B4" s="192"/>
      <c r="C4" s="192"/>
      <c r="D4" s="192"/>
      <c r="E4" s="192"/>
      <c r="F4" s="193"/>
      <c r="G4" s="192"/>
      <c r="H4" s="192"/>
      <c r="I4" s="192"/>
      <c r="J4" s="192"/>
      <c r="K4" s="192"/>
      <c r="L4" s="192"/>
      <c r="M4" s="192"/>
      <c r="N4" s="192"/>
      <c r="O4" s="192"/>
      <c r="P4" s="192"/>
      <c r="Q4" s="192"/>
    </row>
    <row r="5" spans="1:17" s="25" customFormat="1" x14ac:dyDescent="0.25">
      <c r="B5" s="299" t="s">
        <v>236</v>
      </c>
      <c r="C5" s="299"/>
      <c r="D5" s="299"/>
      <c r="F5" s="49"/>
      <c r="G5" s="299" t="s">
        <v>475</v>
      </c>
      <c r="H5" s="299"/>
      <c r="K5" s="299" t="s">
        <v>803</v>
      </c>
      <c r="L5" s="299"/>
      <c r="O5" s="299" t="s">
        <v>804</v>
      </c>
      <c r="P5" s="299"/>
      <c r="Q5" s="299"/>
    </row>
    <row r="6" spans="1:17" s="25" customFormat="1" x14ac:dyDescent="0.25">
      <c r="A6" s="29" t="s">
        <v>158</v>
      </c>
      <c r="B6" s="43" t="s">
        <v>805</v>
      </c>
      <c r="C6" s="43" t="s">
        <v>806</v>
      </c>
      <c r="D6" s="43" t="s">
        <v>807</v>
      </c>
      <c r="E6" s="54"/>
      <c r="F6" s="29" t="s">
        <v>158</v>
      </c>
      <c r="G6" s="27" t="s">
        <v>806</v>
      </c>
      <c r="H6" s="27" t="s">
        <v>807</v>
      </c>
      <c r="J6" s="29" t="s">
        <v>158</v>
      </c>
      <c r="K6" s="27" t="s">
        <v>805</v>
      </c>
      <c r="L6" s="27" t="s">
        <v>806</v>
      </c>
      <c r="N6" s="29" t="s">
        <v>158</v>
      </c>
      <c r="O6" s="27" t="s">
        <v>805</v>
      </c>
      <c r="P6" s="27" t="s">
        <v>806</v>
      </c>
      <c r="Q6" s="27" t="s">
        <v>807</v>
      </c>
    </row>
    <row r="7" spans="1:17" x14ac:dyDescent="0.25">
      <c r="A7" s="30">
        <v>2019</v>
      </c>
      <c r="B7" s="128">
        <v>24.383823329474598</v>
      </c>
      <c r="C7" s="149">
        <v>21.679851628106402</v>
      </c>
      <c r="D7" s="149">
        <v>26.361819732812602</v>
      </c>
      <c r="E7" s="49"/>
      <c r="F7" s="30">
        <v>2019</v>
      </c>
      <c r="G7" s="76">
        <v>13.396714678629101</v>
      </c>
      <c r="H7" s="76">
        <v>15.877661288585701</v>
      </c>
      <c r="I7" s="72"/>
      <c r="J7" s="30">
        <v>2019</v>
      </c>
      <c r="K7" s="76">
        <v>15.0175789309032</v>
      </c>
      <c r="L7" s="76">
        <v>14.4485648333534</v>
      </c>
      <c r="N7" s="30">
        <v>2019</v>
      </c>
      <c r="O7" s="76">
        <v>18.5526400522252</v>
      </c>
      <c r="P7" s="76">
        <v>18.072531606785599</v>
      </c>
      <c r="Q7" s="76">
        <v>20.364355758522301</v>
      </c>
    </row>
    <row r="8" spans="1:17" x14ac:dyDescent="0.25">
      <c r="A8" s="30">
        <v>2020</v>
      </c>
      <c r="B8" s="128">
        <v>26.009657570731598</v>
      </c>
      <c r="C8" s="149">
        <v>22.0378758764592</v>
      </c>
      <c r="D8" s="149">
        <v>27.9335403543285</v>
      </c>
      <c r="E8" s="49"/>
      <c r="F8" s="30">
        <v>2020</v>
      </c>
      <c r="G8" s="76">
        <v>13.1438283287782</v>
      </c>
      <c r="H8" s="76">
        <v>15.647905224332201</v>
      </c>
      <c r="J8" s="30">
        <v>2020</v>
      </c>
      <c r="K8" s="76">
        <v>14.8694472939811</v>
      </c>
      <c r="L8" s="76">
        <v>14.163103686597401</v>
      </c>
      <c r="N8" s="30">
        <v>2020</v>
      </c>
      <c r="O8" s="76">
        <v>18.353757607951199</v>
      </c>
      <c r="P8" s="76">
        <v>18.4902572368274</v>
      </c>
      <c r="Q8" s="76">
        <v>20.190543359874599</v>
      </c>
    </row>
    <row r="9" spans="1:17" x14ac:dyDescent="0.25">
      <c r="A9" s="30">
        <v>2021</v>
      </c>
      <c r="B9" s="128">
        <v>28.395219289538399</v>
      </c>
      <c r="C9" s="149">
        <v>21.742045018122599</v>
      </c>
      <c r="D9" s="149">
        <v>30.5265301176522</v>
      </c>
      <c r="E9" s="49"/>
      <c r="F9" s="30">
        <v>2021</v>
      </c>
      <c r="G9" s="76">
        <v>13.0005611690443</v>
      </c>
      <c r="H9" s="76">
        <v>15.091203165250199</v>
      </c>
      <c r="J9" s="30">
        <v>2021</v>
      </c>
      <c r="K9" s="76">
        <v>14.869920442822099</v>
      </c>
      <c r="L9" s="76">
        <v>13.761906986898401</v>
      </c>
      <c r="N9" s="30">
        <v>2021</v>
      </c>
      <c r="O9" s="76">
        <v>18.215794508971701</v>
      </c>
      <c r="P9" s="76">
        <v>18.249315422282102</v>
      </c>
      <c r="Q9" s="76">
        <v>19.652170525573002</v>
      </c>
    </row>
    <row r="10" spans="1:17" x14ac:dyDescent="0.25">
      <c r="A10" s="30">
        <v>2022</v>
      </c>
      <c r="B10" s="128">
        <v>30.526342006606701</v>
      </c>
      <c r="C10" s="149">
        <v>21.042841527674199</v>
      </c>
      <c r="D10" s="149">
        <v>33.182496463404597</v>
      </c>
      <c r="E10" s="49"/>
      <c r="F10" s="30">
        <v>2022</v>
      </c>
      <c r="G10" s="76">
        <v>13.823515668435299</v>
      </c>
      <c r="H10" s="76">
        <v>15.889990009904601</v>
      </c>
      <c r="J10" s="30">
        <v>2022</v>
      </c>
      <c r="K10" s="76">
        <v>15.0611014872845</v>
      </c>
      <c r="L10" s="76">
        <v>13.634605936939801</v>
      </c>
      <c r="N10" s="30">
        <v>2022</v>
      </c>
      <c r="O10" s="76">
        <v>19.169409598793699</v>
      </c>
      <c r="P10" s="76">
        <v>18.769729223610099</v>
      </c>
      <c r="Q10" s="76">
        <v>20.5695563538698</v>
      </c>
    </row>
    <row r="11" spans="1:17" x14ac:dyDescent="0.25">
      <c r="A11" s="30">
        <v>2023</v>
      </c>
      <c r="B11" s="128">
        <v>35.319630713510094</v>
      </c>
      <c r="C11" s="149">
        <v>21.173386526840901</v>
      </c>
      <c r="D11" s="149">
        <v>36.159351695204997</v>
      </c>
      <c r="E11" s="49"/>
      <c r="F11" s="30">
        <v>2023</v>
      </c>
      <c r="G11" s="76">
        <v>13.2470878946055</v>
      </c>
      <c r="H11" s="76">
        <v>16.763689919098901</v>
      </c>
      <c r="J11" s="30">
        <v>2023</v>
      </c>
      <c r="K11" s="76">
        <v>15.369670835011801</v>
      </c>
      <c r="L11" s="76">
        <v>13.281151276494299</v>
      </c>
      <c r="N11" s="30">
        <v>2023</v>
      </c>
      <c r="O11" s="76">
        <v>20.104394901999001</v>
      </c>
      <c r="P11" s="76">
        <v>17.465611361355197</v>
      </c>
      <c r="Q11" s="76">
        <v>22.130000770154602</v>
      </c>
    </row>
    <row r="12" spans="1:17" x14ac:dyDescent="0.25">
      <c r="A12" s="30">
        <v>2024</v>
      </c>
      <c r="B12" s="128">
        <v>36.058855689866895</v>
      </c>
      <c r="C12" s="149">
        <v>21.540169076156801</v>
      </c>
      <c r="D12" s="149">
        <v>39.920657969279297</v>
      </c>
      <c r="E12" s="49"/>
      <c r="F12" s="30">
        <v>2024</v>
      </c>
      <c r="G12" s="76">
        <v>13.0208558092923</v>
      </c>
      <c r="H12" s="76">
        <v>17.1029593791121</v>
      </c>
      <c r="J12" s="30">
        <v>2024</v>
      </c>
      <c r="K12" s="76">
        <v>15.141166968108399</v>
      </c>
      <c r="L12" s="76">
        <v>13.2071865618089</v>
      </c>
      <c r="N12" s="30">
        <v>2024</v>
      </c>
      <c r="O12" s="76">
        <v>20.063901465117002</v>
      </c>
      <c r="P12" s="76">
        <v>17.642802177814403</v>
      </c>
      <c r="Q12" s="76">
        <v>21.683119758276302</v>
      </c>
    </row>
    <row r="13" spans="1:17" x14ac:dyDescent="0.25">
      <c r="A13" s="30"/>
      <c r="B13" s="44"/>
      <c r="C13" s="52"/>
      <c r="D13" s="84"/>
      <c r="E13" s="84"/>
      <c r="K13" s="44"/>
      <c r="O13" s="44"/>
    </row>
    <row r="14" spans="1:17" s="81" customFormat="1" x14ac:dyDescent="0.25">
      <c r="A14" s="25"/>
      <c r="B14" s="44"/>
      <c r="C14" s="179"/>
      <c r="D14" s="84"/>
      <c r="E14" s="84"/>
      <c r="G14"/>
      <c r="H14"/>
      <c r="I14"/>
    </row>
    <row r="15" spans="1:17" s="81" customFormat="1" x14ac:dyDescent="0.25">
      <c r="A15" s="114" t="s">
        <v>197</v>
      </c>
      <c r="B15" s="28" t="s">
        <v>808</v>
      </c>
      <c r="C15" s="25"/>
      <c r="D15" s="25"/>
      <c r="E15" s="25"/>
      <c r="G15"/>
      <c r="H15"/>
      <c r="I15"/>
    </row>
    <row r="16" spans="1:17" s="81" customFormat="1" x14ac:dyDescent="0.25">
      <c r="A16" s="114"/>
      <c r="B16"/>
      <c r="C16" s="25"/>
      <c r="D16" s="25"/>
      <c r="E16" s="25"/>
      <c r="G16"/>
      <c r="H16"/>
      <c r="I16"/>
    </row>
    <row r="17" spans="1:9" s="81" customFormat="1" x14ac:dyDescent="0.25">
      <c r="A17" s="25"/>
      <c r="B17"/>
      <c r="C17" s="25"/>
      <c r="D17" s="25"/>
      <c r="E17" s="25"/>
      <c r="G17"/>
      <c r="H17"/>
      <c r="I17"/>
    </row>
    <row r="18" spans="1:9" s="81" customFormat="1" x14ac:dyDescent="0.25">
      <c r="A18" s="114" t="s">
        <v>205</v>
      </c>
      <c r="B18" s="28" t="s">
        <v>488</v>
      </c>
      <c r="C18" s="25"/>
      <c r="D18" s="25"/>
      <c r="E18" s="25"/>
      <c r="G18"/>
      <c r="H18"/>
      <c r="I18"/>
    </row>
    <row r="19" spans="1:9" x14ac:dyDescent="0.25">
      <c r="B19" s="28" t="s">
        <v>809</v>
      </c>
    </row>
    <row r="20" spans="1:9" x14ac:dyDescent="0.25">
      <c r="B20" s="28" t="s">
        <v>810</v>
      </c>
    </row>
    <row r="21" spans="1:9" x14ac:dyDescent="0.25">
      <c r="B21" s="28" t="s">
        <v>811</v>
      </c>
    </row>
    <row r="22" spans="1:9" x14ac:dyDescent="0.25">
      <c r="B22" s="28" t="s">
        <v>812</v>
      </c>
    </row>
    <row r="23" spans="1:9" x14ac:dyDescent="0.25">
      <c r="B23" s="28" t="s">
        <v>813</v>
      </c>
    </row>
    <row r="24" spans="1:9" x14ac:dyDescent="0.25">
      <c r="B24" s="28" t="s">
        <v>814</v>
      </c>
    </row>
    <row r="25" spans="1:9" x14ac:dyDescent="0.25">
      <c r="B25" s="28" t="s">
        <v>815</v>
      </c>
    </row>
  </sheetData>
  <mergeCells count="4">
    <mergeCell ref="B5:D5"/>
    <mergeCell ref="G5:H5"/>
    <mergeCell ref="O5:Q5"/>
    <mergeCell ref="K5:L5"/>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1330C-8FDD-4278-944F-952933CD5094}">
  <sheetPr>
    <tabColor theme="8" tint="0.79998168889431442"/>
  </sheetPr>
  <dimension ref="A1:L48"/>
  <sheetViews>
    <sheetView workbookViewId="0">
      <selection activeCell="A10" sqref="A10"/>
    </sheetView>
  </sheetViews>
  <sheetFormatPr defaultRowHeight="15" x14ac:dyDescent="0.25"/>
  <cols>
    <col min="1" max="1" width="11.5703125" customWidth="1"/>
    <col min="2" max="3" width="14.5703125" style="25" customWidth="1"/>
    <col min="4" max="4" width="13.42578125" customWidth="1"/>
    <col min="5" max="5" width="14.5703125" customWidth="1"/>
    <col min="6" max="6" width="7.85546875" customWidth="1"/>
    <col min="7" max="11" width="14.5703125" style="25" customWidth="1"/>
    <col min="12" max="12" width="14.42578125" style="25" customWidth="1"/>
  </cols>
  <sheetData>
    <row r="1" spans="1:11" x14ac:dyDescent="0.25">
      <c r="A1" s="24" t="s">
        <v>117</v>
      </c>
    </row>
    <row r="2" spans="1:11" x14ac:dyDescent="0.25">
      <c r="A2" t="s">
        <v>118</v>
      </c>
    </row>
    <row r="4" spans="1:11" x14ac:dyDescent="0.25">
      <c r="A4" s="25"/>
      <c r="B4" s="25" t="s">
        <v>816</v>
      </c>
      <c r="D4" s="25"/>
      <c r="E4" s="25"/>
      <c r="F4" s="25"/>
      <c r="G4" s="25" t="s">
        <v>817</v>
      </c>
    </row>
    <row r="5" spans="1:11" x14ac:dyDescent="0.25">
      <c r="A5" s="29" t="s">
        <v>158</v>
      </c>
      <c r="B5" s="27" t="s">
        <v>818</v>
      </c>
      <c r="C5" s="27" t="s">
        <v>253</v>
      </c>
      <c r="D5" s="27" t="s">
        <v>819</v>
      </c>
      <c r="E5" s="27" t="s">
        <v>330</v>
      </c>
      <c r="F5" s="79"/>
      <c r="G5" s="27" t="s">
        <v>818</v>
      </c>
      <c r="H5" s="27" t="s">
        <v>253</v>
      </c>
      <c r="I5" s="27" t="s">
        <v>254</v>
      </c>
      <c r="J5" s="27" t="s">
        <v>255</v>
      </c>
      <c r="K5" s="27" t="s">
        <v>330</v>
      </c>
    </row>
    <row r="6" spans="1:11" x14ac:dyDescent="0.25">
      <c r="A6" s="30">
        <v>2010</v>
      </c>
      <c r="B6" s="217">
        <f>G6*1000000/1000000000</f>
        <v>3754.8409999999999</v>
      </c>
      <c r="C6" s="217">
        <f>H6*1000000/1000000000</f>
        <v>1445.7080000000001</v>
      </c>
      <c r="D6" s="217">
        <f>(I6+J6)*1000000/1000000000</f>
        <v>2301.42</v>
      </c>
      <c r="E6" s="217">
        <f t="shared" ref="E6:E21" si="0">K6*1000000/1000000000</f>
        <v>7.7119999999999997</v>
      </c>
      <c r="G6" s="58">
        <v>3754841</v>
      </c>
      <c r="H6" s="58">
        <v>1445708</v>
      </c>
      <c r="I6" s="58">
        <v>1330199</v>
      </c>
      <c r="J6" s="58">
        <v>971221</v>
      </c>
      <c r="K6" s="58">
        <v>7712</v>
      </c>
    </row>
    <row r="7" spans="1:11" x14ac:dyDescent="0.25">
      <c r="A7" s="30">
        <v>2011</v>
      </c>
      <c r="B7" s="217">
        <f t="shared" ref="B7:B19" si="1">G7*1000000/1000000000</f>
        <v>3749.846</v>
      </c>
      <c r="C7" s="217">
        <f t="shared" ref="C7:C21" si="2">H7*1000000/1000000000</f>
        <v>1422.8009999999999</v>
      </c>
      <c r="D7" s="217">
        <f t="shared" ref="D7:D21" si="3">(I7+J7)*1000000/1000000000</f>
        <v>2319.373</v>
      </c>
      <c r="E7" s="217">
        <f t="shared" si="0"/>
        <v>7.6719999999999997</v>
      </c>
      <c r="G7" s="58">
        <v>3749846</v>
      </c>
      <c r="H7" s="58">
        <v>1422801</v>
      </c>
      <c r="I7" s="58">
        <v>1328057</v>
      </c>
      <c r="J7" s="58">
        <v>991316</v>
      </c>
      <c r="K7" s="58">
        <v>7672</v>
      </c>
    </row>
    <row r="8" spans="1:11" x14ac:dyDescent="0.25">
      <c r="A8" s="30">
        <v>2012</v>
      </c>
      <c r="B8" s="217">
        <f t="shared" si="1"/>
        <v>3694.65</v>
      </c>
      <c r="C8" s="217">
        <f t="shared" si="2"/>
        <v>1374.5150000000001</v>
      </c>
      <c r="D8" s="217">
        <f t="shared" si="3"/>
        <v>2312.8150000000001</v>
      </c>
      <c r="E8" s="217">
        <f t="shared" si="0"/>
        <v>7.32</v>
      </c>
      <c r="G8" s="58">
        <v>3694650</v>
      </c>
      <c r="H8" s="58">
        <v>1374515</v>
      </c>
      <c r="I8" s="58">
        <v>1327101</v>
      </c>
      <c r="J8" s="58">
        <v>985714</v>
      </c>
      <c r="K8" s="58">
        <v>7320</v>
      </c>
    </row>
    <row r="9" spans="1:11" x14ac:dyDescent="0.25">
      <c r="A9" s="30">
        <v>2013</v>
      </c>
      <c r="B9" s="217">
        <f t="shared" si="1"/>
        <v>3724.8679999999999</v>
      </c>
      <c r="C9" s="217">
        <f t="shared" si="2"/>
        <v>1394.8119999999999</v>
      </c>
      <c r="D9" s="217">
        <f t="shared" si="3"/>
        <v>2322.431</v>
      </c>
      <c r="E9" s="217">
        <f t="shared" si="0"/>
        <v>7.625</v>
      </c>
      <c r="G9" s="58">
        <v>3724868</v>
      </c>
      <c r="H9" s="58">
        <v>1394812</v>
      </c>
      <c r="I9" s="58">
        <v>1337079</v>
      </c>
      <c r="J9" s="58">
        <v>985352</v>
      </c>
      <c r="K9" s="58">
        <v>7625</v>
      </c>
    </row>
    <row r="10" spans="1:11" x14ac:dyDescent="0.25">
      <c r="A10" s="30">
        <v>2014</v>
      </c>
      <c r="B10" s="217">
        <f t="shared" si="1"/>
        <v>3764.7</v>
      </c>
      <c r="C10" s="217">
        <f t="shared" si="2"/>
        <v>1407.2080000000001</v>
      </c>
      <c r="D10" s="217">
        <f t="shared" si="3"/>
        <v>2349.7339999999999</v>
      </c>
      <c r="E10" s="217">
        <f t="shared" si="0"/>
        <v>7.758</v>
      </c>
      <c r="G10" s="58">
        <v>3764700</v>
      </c>
      <c r="H10" s="58">
        <v>1407208</v>
      </c>
      <c r="I10" s="58">
        <v>1352158</v>
      </c>
      <c r="J10" s="58">
        <v>997576</v>
      </c>
      <c r="K10" s="58">
        <v>7758</v>
      </c>
    </row>
    <row r="11" spans="1:11" x14ac:dyDescent="0.25">
      <c r="A11" s="30">
        <v>2015</v>
      </c>
      <c r="B11" s="217">
        <f t="shared" si="1"/>
        <v>3758.9920000000002</v>
      </c>
      <c r="C11" s="217">
        <f t="shared" si="2"/>
        <v>1404.096</v>
      </c>
      <c r="D11" s="217">
        <f t="shared" si="3"/>
        <v>2347.2600000000002</v>
      </c>
      <c r="E11" s="217">
        <f t="shared" si="0"/>
        <v>7.6369999999999996</v>
      </c>
      <c r="G11" s="58">
        <v>3758992</v>
      </c>
      <c r="H11" s="58">
        <v>1404096</v>
      </c>
      <c r="I11" s="58">
        <v>1360752</v>
      </c>
      <c r="J11" s="58">
        <v>986508</v>
      </c>
      <c r="K11" s="58">
        <v>7637</v>
      </c>
    </row>
    <row r="12" spans="1:11" x14ac:dyDescent="0.25">
      <c r="A12" s="30">
        <v>2016</v>
      </c>
      <c r="B12" s="217">
        <f t="shared" si="1"/>
        <v>3762.462</v>
      </c>
      <c r="C12" s="217">
        <f t="shared" si="2"/>
        <v>1411.058</v>
      </c>
      <c r="D12" s="217">
        <f t="shared" si="3"/>
        <v>2343.9059999999999</v>
      </c>
      <c r="E12" s="217">
        <f t="shared" si="0"/>
        <v>7.4969999999999999</v>
      </c>
      <c r="G12" s="58">
        <v>3762462</v>
      </c>
      <c r="H12" s="58">
        <v>1411058</v>
      </c>
      <c r="I12" s="58">
        <v>1367191</v>
      </c>
      <c r="J12" s="58">
        <v>976715</v>
      </c>
      <c r="K12" s="58">
        <v>7497</v>
      </c>
    </row>
    <row r="13" spans="1:11" x14ac:dyDescent="0.25">
      <c r="A13" s="30">
        <v>2017</v>
      </c>
      <c r="B13" s="217">
        <f t="shared" si="1"/>
        <v>3723.3560000000002</v>
      </c>
      <c r="C13" s="217">
        <f t="shared" si="2"/>
        <v>1378.6479999999999</v>
      </c>
      <c r="D13" s="217">
        <f t="shared" si="3"/>
        <v>2337.1860000000001</v>
      </c>
      <c r="E13" s="217">
        <f t="shared" si="0"/>
        <v>7.5229999999999997</v>
      </c>
      <c r="G13" s="58">
        <v>3723356</v>
      </c>
      <c r="H13" s="58">
        <v>1378648</v>
      </c>
      <c r="I13" s="58">
        <v>1352888</v>
      </c>
      <c r="J13" s="58">
        <v>984298</v>
      </c>
      <c r="K13" s="58">
        <v>7523</v>
      </c>
    </row>
    <row r="14" spans="1:11" x14ac:dyDescent="0.25">
      <c r="A14" s="30">
        <v>2018</v>
      </c>
      <c r="B14" s="217">
        <f t="shared" si="1"/>
        <v>3859.1849999999999</v>
      </c>
      <c r="C14" s="217">
        <f t="shared" si="2"/>
        <v>1469.0930000000001</v>
      </c>
      <c r="D14" s="217">
        <f t="shared" si="3"/>
        <v>2382.4279999999999</v>
      </c>
      <c r="E14" s="217">
        <f t="shared" si="0"/>
        <v>7.665</v>
      </c>
      <c r="G14" s="58">
        <v>3859185</v>
      </c>
      <c r="H14" s="58">
        <v>1469093</v>
      </c>
      <c r="I14" s="58">
        <v>1381755</v>
      </c>
      <c r="J14" s="58">
        <v>1000673</v>
      </c>
      <c r="K14" s="58">
        <v>7665</v>
      </c>
    </row>
    <row r="15" spans="1:11" x14ac:dyDescent="0.25">
      <c r="A15" s="30">
        <v>2019</v>
      </c>
      <c r="B15" s="217">
        <f t="shared" si="1"/>
        <v>3811.15</v>
      </c>
      <c r="C15" s="217">
        <f t="shared" si="2"/>
        <v>1440.289</v>
      </c>
      <c r="D15" s="217">
        <f t="shared" si="3"/>
        <v>2363.23</v>
      </c>
      <c r="E15" s="217">
        <f t="shared" si="0"/>
        <v>7.6319999999999997</v>
      </c>
      <c r="G15" s="58">
        <v>3811150</v>
      </c>
      <c r="H15" s="58">
        <v>1440289</v>
      </c>
      <c r="I15" s="58">
        <v>1360877</v>
      </c>
      <c r="J15" s="58">
        <v>1002353</v>
      </c>
      <c r="K15" s="58">
        <v>7632</v>
      </c>
    </row>
    <row r="16" spans="1:11" x14ac:dyDescent="0.25">
      <c r="A16" s="30">
        <v>2020</v>
      </c>
      <c r="B16" s="217">
        <f t="shared" si="1"/>
        <v>3717.674</v>
      </c>
      <c r="C16" s="217">
        <f t="shared" si="2"/>
        <v>1464.605</v>
      </c>
      <c r="D16" s="217">
        <f t="shared" si="3"/>
        <v>2246.5219999999999</v>
      </c>
      <c r="E16" s="217">
        <f t="shared" si="0"/>
        <v>6.548</v>
      </c>
      <c r="G16" s="58">
        <v>3717674</v>
      </c>
      <c r="H16" s="58">
        <v>1464605</v>
      </c>
      <c r="I16" s="58">
        <v>1287440</v>
      </c>
      <c r="J16" s="58">
        <v>959082</v>
      </c>
      <c r="K16" s="58">
        <v>6548</v>
      </c>
    </row>
    <row r="17" spans="1:11" x14ac:dyDescent="0.25">
      <c r="A17" s="30">
        <v>2021</v>
      </c>
      <c r="B17" s="217">
        <f t="shared" si="1"/>
        <v>3805.8739999999998</v>
      </c>
      <c r="C17" s="217">
        <f t="shared" si="2"/>
        <v>1470.4870000000001</v>
      </c>
      <c r="D17" s="217">
        <f t="shared" si="3"/>
        <v>2329.0520000000001</v>
      </c>
      <c r="E17" s="217">
        <f t="shared" si="0"/>
        <v>6.3339999999999996</v>
      </c>
      <c r="G17" s="58">
        <v>3805874</v>
      </c>
      <c r="H17" s="58">
        <v>1470487</v>
      </c>
      <c r="I17" s="58">
        <v>1328439</v>
      </c>
      <c r="J17" s="58">
        <v>1000613</v>
      </c>
      <c r="K17" s="58">
        <v>6334</v>
      </c>
    </row>
    <row r="18" spans="1:11" x14ac:dyDescent="0.25">
      <c r="A18" s="30">
        <v>2022</v>
      </c>
      <c r="B18" s="217">
        <f t="shared" si="1"/>
        <v>3927.1689999999999</v>
      </c>
      <c r="C18" s="217">
        <f t="shared" si="2"/>
        <v>1509.2329999999999</v>
      </c>
      <c r="D18" s="217">
        <f t="shared" si="3"/>
        <v>2411.337</v>
      </c>
      <c r="E18" s="217">
        <f t="shared" si="0"/>
        <v>6.5990000000000002</v>
      </c>
      <c r="G18" s="58">
        <v>3927169</v>
      </c>
      <c r="H18" s="58">
        <v>1509233</v>
      </c>
      <c r="I18" s="58">
        <v>1390873</v>
      </c>
      <c r="J18" s="58">
        <v>1020464</v>
      </c>
      <c r="K18" s="58">
        <v>6599</v>
      </c>
    </row>
    <row r="19" spans="1:11" x14ac:dyDescent="0.25">
      <c r="A19" s="30">
        <v>2023</v>
      </c>
      <c r="B19" s="217">
        <f t="shared" si="1"/>
        <v>3874.2530000000002</v>
      </c>
      <c r="C19" s="217">
        <f t="shared" si="2"/>
        <v>1450.0250000000001</v>
      </c>
      <c r="D19" s="217">
        <f t="shared" si="3"/>
        <v>2417.3649999999998</v>
      </c>
      <c r="E19" s="217">
        <f t="shared" si="0"/>
        <v>6.8639999999999999</v>
      </c>
      <c r="G19" s="58">
        <v>3874253</v>
      </c>
      <c r="H19" s="58">
        <v>1450025</v>
      </c>
      <c r="I19" s="58">
        <v>1408109</v>
      </c>
      <c r="J19" s="58">
        <v>1009256</v>
      </c>
      <c r="K19" s="58">
        <v>6864</v>
      </c>
    </row>
    <row r="20" spans="1:11" x14ac:dyDescent="0.25">
      <c r="A20" s="30">
        <v>2024</v>
      </c>
      <c r="B20" s="217">
        <f>G20*1000000/1000000000</f>
        <v>3975.3820000000001</v>
      </c>
      <c r="C20" s="217">
        <f t="shared" si="2"/>
        <v>1482.874</v>
      </c>
      <c r="D20" s="217">
        <f>(I20+J20)*1000000/1000000000</f>
        <v>2485.5250000000001</v>
      </c>
      <c r="E20" s="217">
        <f t="shared" si="0"/>
        <v>6.9829999999999997</v>
      </c>
      <c r="G20" s="58">
        <v>3975382</v>
      </c>
      <c r="H20" s="58">
        <v>1482874</v>
      </c>
      <c r="I20" s="58">
        <v>1450941</v>
      </c>
      <c r="J20" s="58">
        <v>1034584</v>
      </c>
      <c r="K20" s="58">
        <v>6983</v>
      </c>
    </row>
    <row r="21" spans="1:11" x14ac:dyDescent="0.25">
      <c r="A21" s="30">
        <v>2025</v>
      </c>
      <c r="B21" s="217">
        <f t="shared" ref="B21" si="4">G21*1000000/1000000000</f>
        <v>4058.0070000000001</v>
      </c>
      <c r="C21" s="217">
        <f t="shared" si="2"/>
        <v>1514.9929999999999</v>
      </c>
      <c r="D21" s="217">
        <f t="shared" si="3"/>
        <v>2535.703</v>
      </c>
      <c r="E21" s="217">
        <f t="shared" si="0"/>
        <v>7.3109999999999999</v>
      </c>
      <c r="G21" s="58">
        <v>4058007</v>
      </c>
      <c r="H21" s="58">
        <v>1514993</v>
      </c>
      <c r="I21" s="58">
        <v>1493486</v>
      </c>
      <c r="J21" s="58">
        <v>1042217</v>
      </c>
      <c r="K21" s="58">
        <v>7311</v>
      </c>
    </row>
    <row r="22" spans="1:11" x14ac:dyDescent="0.25">
      <c r="B22" s="46"/>
      <c r="C22"/>
    </row>
    <row r="23" spans="1:11" x14ac:dyDescent="0.25">
      <c r="B23"/>
      <c r="C23"/>
      <c r="D23" s="82"/>
    </row>
    <row r="24" spans="1:11" x14ac:dyDescent="0.25">
      <c r="A24" s="28" t="s">
        <v>820</v>
      </c>
      <c r="B24"/>
      <c r="C24"/>
    </row>
    <row r="25" spans="1:11" x14ac:dyDescent="0.25">
      <c r="A25" s="30" t="s">
        <v>821</v>
      </c>
      <c r="B25" s="80">
        <f>(B$15-B6)/B6</f>
        <v>1.4996374014239271E-2</v>
      </c>
      <c r="C25" s="80">
        <f>(C$15-C6)/C6</f>
        <v>-3.7483364552178561E-3</v>
      </c>
      <c r="D25" s="80">
        <f>(D$15-D6)/D6</f>
        <v>2.6857331560514789E-2</v>
      </c>
      <c r="E25" s="80">
        <f>(E$15-E6)/E6</f>
        <v>-1.03734439834025E-2</v>
      </c>
    </row>
    <row r="26" spans="1:11" x14ac:dyDescent="0.25">
      <c r="A26" s="30" t="s">
        <v>549</v>
      </c>
      <c r="B26" s="80">
        <f>(B$21-B6)/B6</f>
        <v>8.0740036662005174E-2</v>
      </c>
      <c r="C26" s="80">
        <f>(C$21-C6)/C6</f>
        <v>4.7924615482517807E-2</v>
      </c>
      <c r="D26" s="80">
        <f>(D$21-D6)/D6</f>
        <v>0.10179932389568175</v>
      </c>
      <c r="E26" s="80">
        <f>(E$21-E6)/E6</f>
        <v>-5.1996887966804954E-2</v>
      </c>
    </row>
    <row r="27" spans="1:11" x14ac:dyDescent="0.25">
      <c r="A27" s="30" t="s">
        <v>335</v>
      </c>
      <c r="B27" s="80">
        <f>(B$21-B15)/B15</f>
        <v>6.4772312818965394E-2</v>
      </c>
      <c r="C27" s="80">
        <f>(C$21-C15)/C15</f>
        <v>5.186736828511497E-2</v>
      </c>
      <c r="D27" s="80">
        <f>(D$21-D15)/D15</f>
        <v>7.2981893425523525E-2</v>
      </c>
      <c r="E27" s="80">
        <f>(E$21-E15)/E15</f>
        <v>-4.2059748427672926E-2</v>
      </c>
    </row>
    <row r="28" spans="1:11" x14ac:dyDescent="0.25">
      <c r="A28" s="30" t="s">
        <v>822</v>
      </c>
      <c r="B28" s="80">
        <f>(B$21-B19)/B19</f>
        <v>4.7429530286225471E-2</v>
      </c>
      <c r="C28" s="80">
        <f t="shared" ref="C28:E29" si="5">(C$21-C19)/C19</f>
        <v>4.480474474578014E-2</v>
      </c>
      <c r="D28" s="80">
        <f t="shared" si="5"/>
        <v>4.8953302459496272E-2</v>
      </c>
      <c r="E28" s="80">
        <f t="shared" si="5"/>
        <v>6.5122377622377631E-2</v>
      </c>
    </row>
    <row r="29" spans="1:11" x14ac:dyDescent="0.25">
      <c r="A29" s="30" t="s">
        <v>558</v>
      </c>
      <c r="B29" s="80">
        <f>(B$21-B20)/B20</f>
        <v>2.0784166150573706E-2</v>
      </c>
      <c r="C29" s="80">
        <f t="shared" si="5"/>
        <v>2.1659965715225916E-2</v>
      </c>
      <c r="D29" s="80">
        <f t="shared" si="5"/>
        <v>2.0188089035515586E-2</v>
      </c>
      <c r="E29" s="80">
        <f t="shared" si="5"/>
        <v>4.6971215809823899E-2</v>
      </c>
    </row>
    <row r="30" spans="1:11" x14ac:dyDescent="0.25">
      <c r="A30" s="30"/>
      <c r="B30" s="80"/>
      <c r="C30" s="80"/>
      <c r="D30" s="80"/>
      <c r="E30" s="80"/>
    </row>
    <row r="31" spans="1:11" x14ac:dyDescent="0.25">
      <c r="A31" s="28" t="s">
        <v>823</v>
      </c>
      <c r="B31" s="80"/>
      <c r="C31" s="80"/>
      <c r="D31" s="80"/>
      <c r="E31" s="80"/>
    </row>
    <row r="32" spans="1:11" x14ac:dyDescent="0.25">
      <c r="A32" s="30" t="s">
        <v>821</v>
      </c>
      <c r="B32" s="80">
        <f>((B15 / B6)^(1 / ($A15-$A6))) - 1</f>
        <v>1.6552617789740154E-3</v>
      </c>
      <c r="C32" s="80">
        <f>((C15 / C6)^(1 / ($A15-$A6))) - 1</f>
        <v>-4.1717729873613774E-4</v>
      </c>
      <c r="D32" s="80">
        <f>((D15 / D6)^(1 / ($A15-$A6))) - 1</f>
        <v>2.9491182999938914E-3</v>
      </c>
      <c r="E32" s="80">
        <f>((E15 / E6)^(1 / ($A15-$A6))) - 1</f>
        <v>-1.1579538492479946E-3</v>
      </c>
      <c r="F32" s="25"/>
    </row>
    <row r="33" spans="1:6" x14ac:dyDescent="0.25">
      <c r="A33" s="30" t="s">
        <v>549</v>
      </c>
      <c r="B33" s="80">
        <f>((B21 / B6)^(1 / ($A21-$A6))) - 1</f>
        <v>5.1898224218069888E-3</v>
      </c>
      <c r="C33" s="80">
        <f t="shared" ref="C33:E33" si="6">((C21 / C6)^(1 / ($A21-$A6))) - 1</f>
        <v>3.1256514614517172E-3</v>
      </c>
      <c r="D33" s="80">
        <f>((D21 / D6)^(1 / ($A21-$A6))) - 1</f>
        <v>6.4839029027696782E-3</v>
      </c>
      <c r="E33" s="80">
        <f t="shared" si="6"/>
        <v>-3.553504239806049E-3</v>
      </c>
    </row>
    <row r="34" spans="1:6" x14ac:dyDescent="0.25">
      <c r="A34" s="30" t="s">
        <v>335</v>
      </c>
      <c r="B34" s="80">
        <f>((B21 / B15)^(1 / ($A21-$A15))) - 1</f>
        <v>1.051506302194527E-2</v>
      </c>
      <c r="C34" s="80">
        <f>((C21 / C15)^(1 / ($A21-$A15))) - 1</f>
        <v>8.4634526423978951E-3</v>
      </c>
      <c r="D34" s="80">
        <f>((D21 / D15)^(1 / ($A21-$A15))) - 1</f>
        <v>1.1809452200841841E-2</v>
      </c>
      <c r="E34" s="80">
        <f>((E21 / E15)^(1 / ($A21-$A15))) - 1</f>
        <v>-7.1360616682628608E-3</v>
      </c>
    </row>
    <row r="35" spans="1:6" x14ac:dyDescent="0.25">
      <c r="A35" s="30" t="s">
        <v>822</v>
      </c>
      <c r="B35" s="80">
        <f>((B21 / B19)^(1 / ($A21-$A19))) - 1</f>
        <v>2.3440047235902206E-2</v>
      </c>
      <c r="C35" s="80">
        <f t="shared" ref="C35:E35" si="7">((C21 / C19)^(1 / ($A21-$A19))) - 1</f>
        <v>2.2156908084947746E-2</v>
      </c>
      <c r="D35" s="80">
        <f t="shared" si="7"/>
        <v>2.4184213146978939E-2</v>
      </c>
      <c r="E35" s="80">
        <f t="shared" si="7"/>
        <v>3.2047662476097916E-2</v>
      </c>
    </row>
    <row r="36" spans="1:6" x14ac:dyDescent="0.25">
      <c r="A36" s="30" t="s">
        <v>558</v>
      </c>
      <c r="B36" s="80">
        <f>((B21 / B20)^(1 / ($A21-$A20))) - 1</f>
        <v>2.0784166150573657E-2</v>
      </c>
      <c r="C36" s="80">
        <f t="shared" ref="C36:E36" si="8">((C21 / C20)^(1 / ($A21-$A20))) - 1</f>
        <v>2.1659965715225882E-2</v>
      </c>
      <c r="D36" s="80">
        <f t="shared" si="8"/>
        <v>2.01880890355155E-2</v>
      </c>
      <c r="E36" s="80">
        <f t="shared" si="8"/>
        <v>4.6971215809823885E-2</v>
      </c>
    </row>
    <row r="37" spans="1:6" x14ac:dyDescent="0.25">
      <c r="A37" s="30"/>
      <c r="B37" s="80"/>
      <c r="D37" s="25"/>
      <c r="E37" s="25"/>
    </row>
    <row r="38" spans="1:6" x14ac:dyDescent="0.25">
      <c r="A38" s="28" t="s">
        <v>824</v>
      </c>
      <c r="D38" s="25"/>
      <c r="E38" s="25"/>
    </row>
    <row r="39" spans="1:6" x14ac:dyDescent="0.25">
      <c r="A39" s="30" t="s">
        <v>821</v>
      </c>
      <c r="B39" s="81">
        <f>(B15-B6)/($B15-$B6)</f>
        <v>1</v>
      </c>
      <c r="C39" s="81">
        <f>(C15-C6)/($B15-$B6)</f>
        <v>-9.623683602976571E-2</v>
      </c>
      <c r="D39" s="81">
        <f>(D15-D6)/($B15-$B6)</f>
        <v>1.0976930863627437</v>
      </c>
      <c r="E39" s="81">
        <f>(E15-E6)/($B15-$B6)</f>
        <v>-1.4207320321795768E-3</v>
      </c>
    </row>
    <row r="40" spans="1:6" x14ac:dyDescent="0.25">
      <c r="A40" s="30" t="s">
        <v>549</v>
      </c>
      <c r="B40" s="81">
        <f>(B21-B6)/($B21-$B6)</f>
        <v>1</v>
      </c>
      <c r="C40" s="81">
        <f>(C21-C6)/($B21-$B6)</f>
        <v>0.22853816061167748</v>
      </c>
      <c r="D40" s="81">
        <f>(D21-D6)/($B21-$B6)</f>
        <v>0.77278784560273839</v>
      </c>
      <c r="E40" s="81">
        <f>(E21-E6)/($B21-$B6)</f>
        <v>-1.3227076914957467E-3</v>
      </c>
    </row>
    <row r="41" spans="1:6" x14ac:dyDescent="0.25">
      <c r="A41" s="30" t="s">
        <v>335</v>
      </c>
      <c r="B41" s="81">
        <f>(B21-B15)/($B21-$B15)</f>
        <v>1</v>
      </c>
      <c r="C41" s="81">
        <f>(C21-C15)/($B21-$B15)</f>
        <v>0.30262054549800071</v>
      </c>
      <c r="D41" s="81">
        <f>(D21-D15)/($B21-$B15)</f>
        <v>0.69867575154846728</v>
      </c>
      <c r="E41" s="81">
        <f>(E21-E15)/($B21-$B15)</f>
        <v>-1.3003479747384103E-3</v>
      </c>
      <c r="F41" s="73"/>
    </row>
    <row r="42" spans="1:6" x14ac:dyDescent="0.25">
      <c r="A42" s="30" t="s">
        <v>822</v>
      </c>
      <c r="B42" s="81">
        <f>(B21-B19)/($B21-$B19)</f>
        <v>1</v>
      </c>
      <c r="C42" s="81">
        <f>(C21-C19)/($B21-$B19)</f>
        <v>0.35355965040216747</v>
      </c>
      <c r="D42" s="81">
        <f>(D21-D19)/($B21-$B19)</f>
        <v>0.64400230743276476</v>
      </c>
      <c r="E42" s="81">
        <f>(E21-E19)/($B21-$B19)</f>
        <v>2.4326001066643462E-3</v>
      </c>
    </row>
    <row r="43" spans="1:6" x14ac:dyDescent="0.25">
      <c r="A43" s="30" t="s">
        <v>558</v>
      </c>
      <c r="B43" s="81">
        <f>(B21-B20)/($B21-$B20)</f>
        <v>1</v>
      </c>
      <c r="C43" s="81">
        <f>(C21-C20)/($B21-$B20)</f>
        <v>0.38873222390317597</v>
      </c>
      <c r="D43" s="81">
        <f>(D21-D20)/($B21-$B20)</f>
        <v>0.60729803328290333</v>
      </c>
      <c r="E43" s="81">
        <f>(E21-E20)/($B21-$B20)</f>
        <v>3.9697428139183095E-3</v>
      </c>
    </row>
    <row r="46" spans="1:6" x14ac:dyDescent="0.25">
      <c r="A46" t="s">
        <v>197</v>
      </c>
      <c r="B46" s="28" t="s">
        <v>825</v>
      </c>
    </row>
    <row r="48" spans="1:6" x14ac:dyDescent="0.25">
      <c r="A48" t="s">
        <v>205</v>
      </c>
      <c r="B48" s="28" t="s">
        <v>826</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9AD2B-426D-44B0-B90F-939C314C8084}">
  <sheetPr>
    <tabColor theme="8" tint="0.79998168889431442"/>
  </sheetPr>
  <dimension ref="A1:V75"/>
  <sheetViews>
    <sheetView workbookViewId="0">
      <selection activeCell="U39" sqref="U39"/>
    </sheetView>
  </sheetViews>
  <sheetFormatPr defaultRowHeight="15" x14ac:dyDescent="0.25"/>
  <cols>
    <col min="1" max="1" width="24.42578125" style="25" customWidth="1"/>
    <col min="2" max="8" width="17" style="25" customWidth="1"/>
    <col min="9" max="9" width="5.140625" style="25" customWidth="1"/>
    <col min="10" max="10" width="9.5703125" style="25" customWidth="1"/>
    <col min="11" max="12" width="12" style="25" customWidth="1"/>
    <col min="13" max="13" width="10.85546875" style="25" customWidth="1"/>
    <col min="14" max="14" width="5.5703125" style="25" customWidth="1"/>
    <col min="15" max="15" width="6.140625" style="25" customWidth="1"/>
    <col min="16" max="17" width="25.42578125" customWidth="1"/>
    <col min="18" max="18" width="11.5703125" customWidth="1"/>
  </cols>
  <sheetData>
    <row r="1" spans="1:22" x14ac:dyDescent="0.25">
      <c r="A1" s="59" t="s">
        <v>120</v>
      </c>
      <c r="B1" s="59"/>
    </row>
    <row r="2" spans="1:22" x14ac:dyDescent="0.25">
      <c r="A2" s="28" t="s">
        <v>121</v>
      </c>
      <c r="B2" s="28"/>
    </row>
    <row r="4" spans="1:22" ht="33.75" customHeight="1" x14ac:dyDescent="0.25">
      <c r="A4" s="43" t="s">
        <v>165</v>
      </c>
      <c r="B4" s="43" t="s">
        <v>827</v>
      </c>
      <c r="C4" s="43" t="s">
        <v>828</v>
      </c>
      <c r="D4" s="43" t="s">
        <v>829</v>
      </c>
      <c r="E4" s="43" t="s">
        <v>830</v>
      </c>
      <c r="F4" s="43" t="s">
        <v>831</v>
      </c>
      <c r="G4" s="43" t="s">
        <v>832</v>
      </c>
      <c r="H4" s="43" t="s">
        <v>833</v>
      </c>
      <c r="I4" s="43"/>
      <c r="J4" s="43" t="s">
        <v>834</v>
      </c>
      <c r="K4" s="43" t="s">
        <v>835</v>
      </c>
      <c r="L4" s="43" t="s">
        <v>836</v>
      </c>
      <c r="M4" s="43" t="s">
        <v>837</v>
      </c>
      <c r="N4" s="54"/>
      <c r="O4" s="54"/>
      <c r="P4" s="54"/>
      <c r="Q4" s="54"/>
      <c r="R4" s="54"/>
      <c r="S4" s="54"/>
      <c r="T4" s="54"/>
      <c r="U4" s="54"/>
      <c r="V4" s="54"/>
    </row>
    <row r="5" spans="1:22" ht="16.5" customHeight="1" x14ac:dyDescent="0.25">
      <c r="A5" s="60" t="s">
        <v>167</v>
      </c>
      <c r="B5" s="58">
        <v>114458</v>
      </c>
      <c r="C5" s="48">
        <v>111846</v>
      </c>
      <c r="D5" s="48">
        <v>113799</v>
      </c>
      <c r="E5" s="48">
        <v>114491</v>
      </c>
      <c r="F5" s="48">
        <v>111329</v>
      </c>
      <c r="G5" s="48">
        <v>111899</v>
      </c>
      <c r="H5" s="48">
        <v>114329</v>
      </c>
      <c r="I5" s="85"/>
      <c r="J5" s="70">
        <f>(G5-B5)/B5</f>
        <v>-2.2357545999405894E-2</v>
      </c>
      <c r="K5" s="70">
        <f t="shared" ref="K5:K36" si="0">(H5-B5)/B5</f>
        <v>-1.1270509706617275E-3</v>
      </c>
      <c r="L5" s="70">
        <f t="shared" ref="L5:L36" si="1">(H5-F5)/F5</f>
        <v>2.6947156625856696E-2</v>
      </c>
      <c r="M5" s="70">
        <f t="shared" ref="M5:M36" si="2">(H5-G5)/G5</f>
        <v>2.1716011760605548E-2</v>
      </c>
      <c r="N5" s="70"/>
      <c r="O5" s="26"/>
      <c r="Q5" s="26"/>
      <c r="R5" s="70"/>
    </row>
    <row r="6" spans="1:22" x14ac:dyDescent="0.25">
      <c r="A6" s="25" t="s">
        <v>168</v>
      </c>
      <c r="B6" s="58">
        <v>27900</v>
      </c>
      <c r="C6" s="48">
        <v>27114</v>
      </c>
      <c r="D6" s="48">
        <v>27738</v>
      </c>
      <c r="E6" s="48">
        <v>27767</v>
      </c>
      <c r="F6" s="48">
        <v>26685</v>
      </c>
      <c r="G6" s="48">
        <v>27351</v>
      </c>
      <c r="H6" s="48">
        <v>27570</v>
      </c>
      <c r="I6" s="85"/>
      <c r="J6" s="70">
        <f t="shared" ref="J6:J65" si="3">(G6-B6)/B6</f>
        <v>-1.9677419354838709E-2</v>
      </c>
      <c r="K6" s="70">
        <f t="shared" si="0"/>
        <v>-1.1827956989247311E-2</v>
      </c>
      <c r="L6" s="70">
        <f t="shared" si="1"/>
        <v>3.316469926925239E-2</v>
      </c>
      <c r="M6" s="70">
        <f t="shared" si="2"/>
        <v>8.0070198530218274E-3</v>
      </c>
      <c r="N6" s="70"/>
      <c r="O6" s="26"/>
      <c r="Q6" s="172"/>
      <c r="R6" s="70"/>
    </row>
    <row r="7" spans="1:22" x14ac:dyDescent="0.25">
      <c r="A7" s="25" t="s">
        <v>169</v>
      </c>
      <c r="B7" s="58">
        <v>11732</v>
      </c>
      <c r="C7" s="48">
        <v>11347</v>
      </c>
      <c r="D7" s="48">
        <v>11585</v>
      </c>
      <c r="E7" s="48">
        <v>11876</v>
      </c>
      <c r="F7" s="48">
        <v>11336</v>
      </c>
      <c r="G7" s="48">
        <v>11342</v>
      </c>
      <c r="H7" s="48">
        <v>11037</v>
      </c>
      <c r="I7" s="85"/>
      <c r="J7" s="70">
        <f t="shared" si="3"/>
        <v>-3.3242413910671668E-2</v>
      </c>
      <c r="K7" s="70">
        <f t="shared" si="0"/>
        <v>-5.9239686327991814E-2</v>
      </c>
      <c r="L7" s="70">
        <f t="shared" si="1"/>
        <v>-2.6376146788990827E-2</v>
      </c>
      <c r="M7" s="70">
        <f t="shared" si="2"/>
        <v>-2.6891200846411566E-2</v>
      </c>
      <c r="N7" s="70"/>
      <c r="O7" s="26"/>
      <c r="Q7" s="172"/>
      <c r="R7" s="70"/>
    </row>
    <row r="8" spans="1:22" x14ac:dyDescent="0.25">
      <c r="A8" s="25" t="s">
        <v>170</v>
      </c>
      <c r="B8" s="58">
        <v>51337</v>
      </c>
      <c r="C8" s="48">
        <v>50009</v>
      </c>
      <c r="D8" s="48">
        <v>50798</v>
      </c>
      <c r="E8" s="48">
        <v>50983</v>
      </c>
      <c r="F8" s="48">
        <v>50012</v>
      </c>
      <c r="G8" s="48">
        <v>49419</v>
      </c>
      <c r="H8" s="48">
        <v>51741</v>
      </c>
      <c r="I8" s="85"/>
      <c r="J8" s="70">
        <f t="shared" si="3"/>
        <v>-3.7360967723084712E-2</v>
      </c>
      <c r="K8" s="70">
        <f t="shared" si="0"/>
        <v>7.8695677581471449E-3</v>
      </c>
      <c r="L8" s="70">
        <f t="shared" si="1"/>
        <v>3.4571702791330081E-2</v>
      </c>
      <c r="M8" s="70">
        <f t="shared" si="2"/>
        <v>4.6985977053360044E-2</v>
      </c>
      <c r="N8" s="70"/>
      <c r="O8" s="26"/>
      <c r="Q8" s="172"/>
      <c r="R8" s="70"/>
    </row>
    <row r="9" spans="1:22" x14ac:dyDescent="0.25">
      <c r="A9" s="25" t="s">
        <v>171</v>
      </c>
      <c r="B9" s="58">
        <v>10712</v>
      </c>
      <c r="C9" s="48">
        <v>10694</v>
      </c>
      <c r="D9" s="48">
        <v>10867</v>
      </c>
      <c r="E9" s="48">
        <v>10818</v>
      </c>
      <c r="F9" s="48">
        <v>10631</v>
      </c>
      <c r="G9" s="48">
        <v>10914</v>
      </c>
      <c r="H9" s="48">
        <v>11104</v>
      </c>
      <c r="I9" s="85"/>
      <c r="J9" s="70">
        <f t="shared" si="3"/>
        <v>1.8857356235997012E-2</v>
      </c>
      <c r="K9" s="70">
        <f t="shared" si="0"/>
        <v>3.6594473487677373E-2</v>
      </c>
      <c r="L9" s="70">
        <f t="shared" si="1"/>
        <v>4.449252187000282E-2</v>
      </c>
      <c r="M9" s="70">
        <f t="shared" si="2"/>
        <v>1.7408832691955287E-2</v>
      </c>
      <c r="N9" s="70"/>
      <c r="O9" s="26"/>
      <c r="Q9" s="172"/>
      <c r="R9" s="70"/>
    </row>
    <row r="10" spans="1:22" x14ac:dyDescent="0.25">
      <c r="A10" s="25" t="s">
        <v>172</v>
      </c>
      <c r="B10" s="58">
        <v>7350</v>
      </c>
      <c r="C10" s="48">
        <v>7352</v>
      </c>
      <c r="D10" s="48">
        <v>7398</v>
      </c>
      <c r="E10" s="48">
        <v>7576</v>
      </c>
      <c r="F10" s="48">
        <v>7301</v>
      </c>
      <c r="G10" s="48">
        <v>7414</v>
      </c>
      <c r="H10" s="48">
        <v>7404</v>
      </c>
      <c r="I10" s="85"/>
      <c r="J10" s="70">
        <f t="shared" si="3"/>
        <v>8.7074829931972787E-3</v>
      </c>
      <c r="K10" s="70">
        <f t="shared" si="0"/>
        <v>7.3469387755102037E-3</v>
      </c>
      <c r="L10" s="70">
        <f t="shared" si="1"/>
        <v>1.4107656485412958E-2</v>
      </c>
      <c r="M10" s="70">
        <f t="shared" si="2"/>
        <v>-1.3487995683841381E-3</v>
      </c>
      <c r="N10" s="70"/>
      <c r="O10" s="26"/>
      <c r="Q10" s="172"/>
      <c r="R10" s="70"/>
    </row>
    <row r="11" spans="1:22" x14ac:dyDescent="0.25">
      <c r="A11" s="25" t="s">
        <v>173</v>
      </c>
      <c r="B11" s="58">
        <v>5428</v>
      </c>
      <c r="C11" s="48">
        <v>5331</v>
      </c>
      <c r="D11" s="48">
        <v>5413</v>
      </c>
      <c r="E11" s="48">
        <v>5470</v>
      </c>
      <c r="F11" s="48">
        <v>5364</v>
      </c>
      <c r="G11" s="48">
        <v>5459</v>
      </c>
      <c r="H11" s="48">
        <v>5473</v>
      </c>
      <c r="I11" s="85"/>
      <c r="J11" s="70">
        <f t="shared" si="3"/>
        <v>5.7111274871039057E-3</v>
      </c>
      <c r="K11" s="70">
        <f t="shared" si="0"/>
        <v>8.2903463522476049E-3</v>
      </c>
      <c r="L11" s="70">
        <f t="shared" si="1"/>
        <v>2.0320656226696494E-2</v>
      </c>
      <c r="M11" s="70">
        <f t="shared" si="2"/>
        <v>2.5645722659827807E-3</v>
      </c>
      <c r="N11" s="70"/>
      <c r="O11" s="26"/>
      <c r="Q11" s="172"/>
      <c r="R11" s="70"/>
    </row>
    <row r="12" spans="1:22" x14ac:dyDescent="0.25">
      <c r="A12" s="60" t="s">
        <v>174</v>
      </c>
      <c r="B12" s="58">
        <v>365097</v>
      </c>
      <c r="C12" s="48">
        <v>352126</v>
      </c>
      <c r="D12" s="48">
        <v>357834</v>
      </c>
      <c r="E12" s="48">
        <v>362698</v>
      </c>
      <c r="F12" s="48">
        <v>349230</v>
      </c>
      <c r="G12" s="48">
        <v>356175</v>
      </c>
      <c r="H12" s="48">
        <v>359872</v>
      </c>
      <c r="I12" s="85"/>
      <c r="J12" s="70">
        <f t="shared" si="3"/>
        <v>-2.4437341309295885E-2</v>
      </c>
      <c r="K12" s="70">
        <f t="shared" si="0"/>
        <v>-1.431126522540585E-2</v>
      </c>
      <c r="L12" s="70">
        <f t="shared" si="1"/>
        <v>3.0472754345273887E-2</v>
      </c>
      <c r="M12" s="70">
        <f t="shared" si="2"/>
        <v>1.0379729065768232E-2</v>
      </c>
      <c r="N12" s="70"/>
      <c r="O12" s="26"/>
      <c r="Q12" s="172"/>
      <c r="R12" s="70"/>
    </row>
    <row r="13" spans="1:22" x14ac:dyDescent="0.25">
      <c r="A13" s="25" t="s">
        <v>175</v>
      </c>
      <c r="B13" s="58">
        <v>73917</v>
      </c>
      <c r="C13" s="48">
        <v>71998</v>
      </c>
      <c r="D13" s="48">
        <v>73070</v>
      </c>
      <c r="E13" s="48">
        <v>74443</v>
      </c>
      <c r="F13" s="48">
        <v>71097</v>
      </c>
      <c r="G13" s="48">
        <v>73531</v>
      </c>
      <c r="H13" s="48">
        <v>73064</v>
      </c>
      <c r="I13" s="85"/>
      <c r="J13" s="70">
        <f t="shared" si="3"/>
        <v>-5.2220734066588202E-3</v>
      </c>
      <c r="K13" s="70">
        <f t="shared" si="0"/>
        <v>-1.1539970507461072E-2</v>
      </c>
      <c r="L13" s="70">
        <f t="shared" si="1"/>
        <v>2.7666427556718286E-2</v>
      </c>
      <c r="M13" s="70">
        <f t="shared" si="2"/>
        <v>-6.3510628170431521E-3</v>
      </c>
      <c r="N13" s="70"/>
      <c r="O13" s="26"/>
      <c r="Q13" s="172"/>
      <c r="R13" s="70"/>
    </row>
    <row r="14" spans="1:22" x14ac:dyDescent="0.25">
      <c r="A14" s="25" t="s">
        <v>176</v>
      </c>
      <c r="B14" s="58">
        <v>145600</v>
      </c>
      <c r="C14" s="48">
        <v>140407</v>
      </c>
      <c r="D14" s="48">
        <v>141424</v>
      </c>
      <c r="E14" s="48">
        <v>143211</v>
      </c>
      <c r="F14" s="48">
        <v>139422</v>
      </c>
      <c r="G14" s="48">
        <v>140498</v>
      </c>
      <c r="H14" s="48">
        <v>143490</v>
      </c>
      <c r="I14" s="85"/>
      <c r="J14" s="70">
        <f t="shared" si="3"/>
        <v>-3.504120879120879E-2</v>
      </c>
      <c r="K14" s="70">
        <f t="shared" si="0"/>
        <v>-1.4491758241758242E-2</v>
      </c>
      <c r="L14" s="70">
        <f t="shared" si="1"/>
        <v>2.9177604682187889E-2</v>
      </c>
      <c r="M14" s="70">
        <f t="shared" si="2"/>
        <v>2.1295676806787286E-2</v>
      </c>
      <c r="N14" s="70"/>
      <c r="O14" s="26"/>
      <c r="Q14" s="172"/>
      <c r="R14" s="70"/>
    </row>
    <row r="15" spans="1:22" x14ac:dyDescent="0.25">
      <c r="A15" s="25" t="s">
        <v>177</v>
      </c>
      <c r="B15" s="58">
        <v>145580</v>
      </c>
      <c r="C15" s="48">
        <v>139721</v>
      </c>
      <c r="D15" s="48">
        <v>143340</v>
      </c>
      <c r="E15" s="48">
        <v>145045</v>
      </c>
      <c r="F15" s="48">
        <v>138711</v>
      </c>
      <c r="G15" s="48">
        <v>142147</v>
      </c>
      <c r="H15" s="48">
        <v>143317</v>
      </c>
      <c r="I15" s="85"/>
      <c r="J15" s="70">
        <f t="shared" si="3"/>
        <v>-2.3581535925264459E-2</v>
      </c>
      <c r="K15" s="70">
        <f t="shared" si="0"/>
        <v>-1.5544717681000138E-2</v>
      </c>
      <c r="L15" s="70">
        <f t="shared" si="1"/>
        <v>3.3205729898854452E-2</v>
      </c>
      <c r="M15" s="70">
        <f t="shared" si="2"/>
        <v>8.2309158828536653E-3</v>
      </c>
      <c r="N15" s="70"/>
      <c r="O15" s="26"/>
      <c r="Q15" s="172"/>
      <c r="R15" s="70"/>
    </row>
    <row r="16" spans="1:22" x14ac:dyDescent="0.25">
      <c r="A16" s="60" t="s">
        <v>178</v>
      </c>
      <c r="B16" s="58">
        <v>559352</v>
      </c>
      <c r="C16" s="48">
        <v>536700</v>
      </c>
      <c r="D16" s="48">
        <v>552387</v>
      </c>
      <c r="E16" s="48">
        <v>555931</v>
      </c>
      <c r="F16" s="48">
        <v>539367</v>
      </c>
      <c r="G16" s="48">
        <v>553436</v>
      </c>
      <c r="H16" s="48">
        <v>571114</v>
      </c>
      <c r="I16" s="85"/>
      <c r="J16" s="70">
        <f t="shared" si="3"/>
        <v>-1.0576524263790958E-2</v>
      </c>
      <c r="K16" s="70">
        <f t="shared" si="0"/>
        <v>2.1027903717158427E-2</v>
      </c>
      <c r="L16" s="70">
        <f t="shared" si="1"/>
        <v>5.8859737432953814E-2</v>
      </c>
      <c r="M16" s="70">
        <f t="shared" si="2"/>
        <v>3.1942266133753498E-2</v>
      </c>
      <c r="N16" s="70"/>
      <c r="O16" s="26"/>
      <c r="Q16" s="172"/>
      <c r="R16" s="70"/>
    </row>
    <row r="17" spans="1:18" x14ac:dyDescent="0.25">
      <c r="A17" s="25" t="s">
        <v>179</v>
      </c>
      <c r="B17" s="58">
        <v>138319</v>
      </c>
      <c r="C17" s="48">
        <v>132469</v>
      </c>
      <c r="D17" s="48">
        <v>135689</v>
      </c>
      <c r="E17" s="48">
        <v>135872</v>
      </c>
      <c r="F17" s="48">
        <v>130578</v>
      </c>
      <c r="G17" s="48">
        <v>133227</v>
      </c>
      <c r="H17" s="48">
        <v>135395</v>
      </c>
      <c r="I17" s="85"/>
      <c r="J17" s="70">
        <f t="shared" si="3"/>
        <v>-3.681345296018624E-2</v>
      </c>
      <c r="K17" s="70">
        <f t="shared" si="0"/>
        <v>-2.1139539759541349E-2</v>
      </c>
      <c r="L17" s="70">
        <f t="shared" si="1"/>
        <v>3.6889828301857892E-2</v>
      </c>
      <c r="M17" s="70">
        <f t="shared" si="2"/>
        <v>1.6272977699715523E-2</v>
      </c>
      <c r="N17" s="70"/>
      <c r="O17" s="26"/>
      <c r="Q17" s="172"/>
      <c r="R17" s="70"/>
    </row>
    <row r="18" spans="1:18" x14ac:dyDescent="0.25">
      <c r="A18" s="25" t="s">
        <v>180</v>
      </c>
      <c r="B18" s="58">
        <v>102104</v>
      </c>
      <c r="C18" s="48">
        <v>97156</v>
      </c>
      <c r="D18" s="48">
        <v>99740</v>
      </c>
      <c r="E18" s="48">
        <v>100044</v>
      </c>
      <c r="F18" s="48">
        <v>95995</v>
      </c>
      <c r="G18" s="48">
        <v>99220</v>
      </c>
      <c r="H18" s="48">
        <v>103487</v>
      </c>
      <c r="I18" s="85"/>
      <c r="J18" s="70">
        <f t="shared" si="3"/>
        <v>-2.8245710256209356E-2</v>
      </c>
      <c r="K18" s="70">
        <f t="shared" si="0"/>
        <v>1.3545012927994985E-2</v>
      </c>
      <c r="L18" s="70">
        <f t="shared" si="1"/>
        <v>7.8045731548518155E-2</v>
      </c>
      <c r="M18" s="70">
        <f t="shared" si="2"/>
        <v>4.3005442451118724E-2</v>
      </c>
      <c r="N18" s="70"/>
      <c r="O18" s="26"/>
      <c r="Q18" s="172"/>
      <c r="R18" s="70"/>
    </row>
    <row r="19" spans="1:18" x14ac:dyDescent="0.25">
      <c r="A19" s="25" t="s">
        <v>181</v>
      </c>
      <c r="B19" s="58">
        <v>101249</v>
      </c>
      <c r="C19" s="48">
        <v>97012</v>
      </c>
      <c r="D19" s="48">
        <v>99813</v>
      </c>
      <c r="E19" s="48">
        <v>100639</v>
      </c>
      <c r="F19" s="48">
        <v>97589</v>
      </c>
      <c r="G19" s="48">
        <v>98991</v>
      </c>
      <c r="H19" s="48">
        <v>100118</v>
      </c>
      <c r="I19" s="85"/>
      <c r="J19" s="70">
        <f t="shared" si="3"/>
        <v>-2.2301454829183498E-2</v>
      </c>
      <c r="K19" s="70">
        <f t="shared" si="0"/>
        <v>-1.117048069610564E-2</v>
      </c>
      <c r="L19" s="70">
        <f t="shared" si="1"/>
        <v>2.5914805971984547E-2</v>
      </c>
      <c r="M19" s="70">
        <f t="shared" si="2"/>
        <v>1.1384873372326777E-2</v>
      </c>
      <c r="N19" s="70"/>
      <c r="O19" s="26"/>
      <c r="Q19" s="172"/>
      <c r="R19" s="70"/>
    </row>
    <row r="20" spans="1:18" x14ac:dyDescent="0.25">
      <c r="A20" s="25" t="s">
        <v>182</v>
      </c>
      <c r="B20" s="58">
        <v>148522</v>
      </c>
      <c r="C20" s="48">
        <v>142615</v>
      </c>
      <c r="D20" s="48">
        <v>147718</v>
      </c>
      <c r="E20" s="48">
        <v>149500</v>
      </c>
      <c r="F20" s="48">
        <v>146641</v>
      </c>
      <c r="G20" s="48">
        <v>153707</v>
      </c>
      <c r="H20" s="48">
        <v>161934</v>
      </c>
      <c r="I20" s="85"/>
      <c r="J20" s="70">
        <f t="shared" si="3"/>
        <v>3.491065296723718E-2</v>
      </c>
      <c r="K20" s="70">
        <f t="shared" si="0"/>
        <v>9.0303120076486984E-2</v>
      </c>
      <c r="L20" s="70">
        <f t="shared" si="1"/>
        <v>0.10428870506884159</v>
      </c>
      <c r="M20" s="70">
        <f t="shared" si="2"/>
        <v>5.3523912378746576E-2</v>
      </c>
      <c r="N20" s="70"/>
      <c r="O20" s="44"/>
      <c r="Q20" s="172"/>
      <c r="R20" s="70"/>
    </row>
    <row r="21" spans="1:18" x14ac:dyDescent="0.25">
      <c r="A21" s="25" t="s">
        <v>185</v>
      </c>
      <c r="B21" s="58">
        <v>69158</v>
      </c>
      <c r="C21" s="48">
        <v>67448</v>
      </c>
      <c r="D21" s="48">
        <v>69427</v>
      </c>
      <c r="E21" s="48">
        <v>69876</v>
      </c>
      <c r="F21" s="48">
        <v>68564</v>
      </c>
      <c r="G21" s="48">
        <v>68291</v>
      </c>
      <c r="H21" s="48">
        <v>70180</v>
      </c>
      <c r="I21" s="85"/>
      <c r="J21" s="70">
        <f t="shared" si="3"/>
        <v>-1.2536510598918419E-2</v>
      </c>
      <c r="K21" s="70">
        <f t="shared" si="0"/>
        <v>1.4777755284999566E-2</v>
      </c>
      <c r="L21" s="70">
        <f t="shared" si="1"/>
        <v>2.3569219998833206E-2</v>
      </c>
      <c r="M21" s="70">
        <f t="shared" si="2"/>
        <v>2.7661038789884466E-2</v>
      </c>
      <c r="N21" s="70"/>
      <c r="O21" s="44"/>
      <c r="Q21" s="172"/>
      <c r="R21" s="70"/>
    </row>
    <row r="22" spans="1:18" x14ac:dyDescent="0.25">
      <c r="A22" s="60" t="s">
        <v>188</v>
      </c>
      <c r="B22" s="58">
        <v>302838</v>
      </c>
      <c r="C22" s="48">
        <v>295591</v>
      </c>
      <c r="D22" s="48">
        <v>305983</v>
      </c>
      <c r="E22" s="48">
        <v>315811</v>
      </c>
      <c r="F22" s="48">
        <v>313923</v>
      </c>
      <c r="G22" s="48">
        <v>317125</v>
      </c>
      <c r="H22" s="48">
        <v>328165</v>
      </c>
      <c r="I22" s="85"/>
      <c r="J22" s="70">
        <f t="shared" si="3"/>
        <v>4.7177038548662981E-2</v>
      </c>
      <c r="K22" s="70">
        <f t="shared" si="0"/>
        <v>8.3632172976971189E-2</v>
      </c>
      <c r="L22" s="70">
        <f t="shared" si="1"/>
        <v>4.5367813126148772E-2</v>
      </c>
      <c r="M22" s="70">
        <f t="shared" si="2"/>
        <v>3.4812770989357505E-2</v>
      </c>
      <c r="N22" s="70"/>
      <c r="O22" s="44"/>
      <c r="Q22" s="172"/>
      <c r="R22" s="70"/>
    </row>
    <row r="23" spans="1:18" x14ac:dyDescent="0.25">
      <c r="A23" s="25" t="s">
        <v>191</v>
      </c>
      <c r="B23" s="58">
        <v>51043</v>
      </c>
      <c r="C23" s="48">
        <v>50640</v>
      </c>
      <c r="D23" s="48">
        <v>52893</v>
      </c>
      <c r="E23" s="48">
        <v>54204</v>
      </c>
      <c r="F23" s="48">
        <v>54400</v>
      </c>
      <c r="G23" s="48">
        <v>54930</v>
      </c>
      <c r="H23" s="48">
        <v>58568</v>
      </c>
      <c r="I23" s="85"/>
      <c r="J23" s="70">
        <f t="shared" si="3"/>
        <v>7.6151480124600823E-2</v>
      </c>
      <c r="K23" s="70">
        <f t="shared" si="0"/>
        <v>0.14742472033383619</v>
      </c>
      <c r="L23" s="70">
        <f t="shared" si="1"/>
        <v>7.6617647058823526E-2</v>
      </c>
      <c r="M23" s="70">
        <f t="shared" si="2"/>
        <v>6.6229746950664484E-2</v>
      </c>
      <c r="N23" s="70"/>
      <c r="O23" s="44"/>
      <c r="Q23" s="172"/>
      <c r="R23" s="70"/>
    </row>
    <row r="24" spans="1:18" x14ac:dyDescent="0.25">
      <c r="A24" s="25" t="s">
        <v>193</v>
      </c>
      <c r="B24" s="58">
        <v>41160</v>
      </c>
      <c r="C24" s="48">
        <v>39484</v>
      </c>
      <c r="D24" s="48">
        <v>40492</v>
      </c>
      <c r="E24" s="48">
        <v>41961</v>
      </c>
      <c r="F24" s="48">
        <v>41052</v>
      </c>
      <c r="G24" s="48">
        <v>41258</v>
      </c>
      <c r="H24" s="48">
        <v>41971</v>
      </c>
      <c r="I24" s="85"/>
      <c r="J24" s="70">
        <f t="shared" si="3"/>
        <v>2.3809523809523812E-3</v>
      </c>
      <c r="K24" s="70">
        <f t="shared" si="0"/>
        <v>1.9703595724003889E-2</v>
      </c>
      <c r="L24" s="70">
        <f t="shared" si="1"/>
        <v>2.2386241839618046E-2</v>
      </c>
      <c r="M24" s="70">
        <f t="shared" si="2"/>
        <v>1.7281496921809105E-2</v>
      </c>
      <c r="N24" s="70"/>
      <c r="O24" s="44"/>
      <c r="Q24" s="172"/>
      <c r="R24" s="70"/>
    </row>
    <row r="25" spans="1:18" x14ac:dyDescent="0.25">
      <c r="A25" s="25" t="s">
        <v>195</v>
      </c>
      <c r="B25" s="58">
        <v>66966</v>
      </c>
      <c r="C25" s="48">
        <v>64055</v>
      </c>
      <c r="D25" s="48">
        <v>66589</v>
      </c>
      <c r="E25" s="48">
        <v>66635</v>
      </c>
      <c r="F25" s="48">
        <v>66216</v>
      </c>
      <c r="G25" s="48">
        <v>64562</v>
      </c>
      <c r="H25" s="48">
        <v>65738</v>
      </c>
      <c r="I25" s="85"/>
      <c r="J25" s="70">
        <f t="shared" si="3"/>
        <v>-3.5898814323686648E-2</v>
      </c>
      <c r="K25" s="70">
        <f t="shared" si="0"/>
        <v>-1.8337663889137771E-2</v>
      </c>
      <c r="L25" s="70">
        <f t="shared" si="1"/>
        <v>-7.2187990817929202E-3</v>
      </c>
      <c r="M25" s="70">
        <f t="shared" si="2"/>
        <v>1.8215049100089836E-2</v>
      </c>
      <c r="N25" s="70"/>
      <c r="O25" s="44"/>
      <c r="Q25" s="172"/>
      <c r="R25" s="70"/>
    </row>
    <row r="26" spans="1:18" x14ac:dyDescent="0.25">
      <c r="A26" s="25" t="s">
        <v>196</v>
      </c>
      <c r="B26" s="58">
        <v>78858</v>
      </c>
      <c r="C26" s="48">
        <v>75726</v>
      </c>
      <c r="D26" s="48">
        <v>77763</v>
      </c>
      <c r="E26" s="48">
        <v>80306</v>
      </c>
      <c r="F26" s="48">
        <v>76976</v>
      </c>
      <c r="G26" s="48">
        <v>77776</v>
      </c>
      <c r="H26" s="48">
        <v>80114</v>
      </c>
      <c r="I26" s="85"/>
      <c r="J26" s="70">
        <f t="shared" si="3"/>
        <v>-1.3720865352912831E-2</v>
      </c>
      <c r="K26" s="70">
        <f t="shared" si="0"/>
        <v>1.5927363108372009E-2</v>
      </c>
      <c r="L26" s="70">
        <f t="shared" si="1"/>
        <v>4.0765953024319269E-2</v>
      </c>
      <c r="M26" s="70">
        <f t="shared" si="2"/>
        <v>3.0060687101419462E-2</v>
      </c>
      <c r="N26" s="70"/>
      <c r="O26" s="44"/>
      <c r="Q26" s="172"/>
      <c r="R26" s="70"/>
    </row>
    <row r="27" spans="1:18" x14ac:dyDescent="0.25">
      <c r="A27" s="25" t="s">
        <v>199</v>
      </c>
      <c r="B27" s="58">
        <v>30383</v>
      </c>
      <c r="C27" s="48">
        <v>31172</v>
      </c>
      <c r="D27" s="48">
        <v>32341</v>
      </c>
      <c r="E27" s="48">
        <v>33844</v>
      </c>
      <c r="F27" s="48">
        <v>33571</v>
      </c>
      <c r="G27" s="48">
        <v>35191</v>
      </c>
      <c r="H27" s="48">
        <v>37624</v>
      </c>
      <c r="I27" s="85"/>
      <c r="J27" s="70">
        <f t="shared" si="3"/>
        <v>0.15824638778264161</v>
      </c>
      <c r="K27" s="70">
        <f t="shared" si="0"/>
        <v>0.23832406279827534</v>
      </c>
      <c r="L27" s="70">
        <f t="shared" si="1"/>
        <v>0.12072920079830807</v>
      </c>
      <c r="M27" s="70">
        <f t="shared" si="2"/>
        <v>6.9136995254468467E-2</v>
      </c>
      <c r="N27" s="70"/>
      <c r="O27" s="44"/>
      <c r="Q27" s="172"/>
      <c r="R27" s="70"/>
    </row>
    <row r="28" spans="1:18" x14ac:dyDescent="0.25">
      <c r="A28" s="25" t="s">
        <v>201</v>
      </c>
      <c r="B28" s="58">
        <v>21559</v>
      </c>
      <c r="C28" s="48">
        <v>21819</v>
      </c>
      <c r="D28" s="48">
        <v>22863</v>
      </c>
      <c r="E28" s="48">
        <v>25393</v>
      </c>
      <c r="F28" s="48">
        <v>28202</v>
      </c>
      <c r="G28" s="48">
        <v>29770</v>
      </c>
      <c r="H28" s="48">
        <v>30339</v>
      </c>
      <c r="I28" s="85"/>
      <c r="J28" s="70">
        <f t="shared" si="3"/>
        <v>0.38086182104921379</v>
      </c>
      <c r="K28" s="70">
        <f t="shared" si="0"/>
        <v>0.40725451087712788</v>
      </c>
      <c r="L28" s="70">
        <f t="shared" si="1"/>
        <v>7.57747677469683E-2</v>
      </c>
      <c r="M28" s="70">
        <f t="shared" si="2"/>
        <v>1.9113201209271079E-2</v>
      </c>
      <c r="N28" s="70"/>
      <c r="O28" s="44"/>
      <c r="Q28" s="172"/>
      <c r="R28" s="70"/>
    </row>
    <row r="29" spans="1:18" x14ac:dyDescent="0.25">
      <c r="A29" s="25" t="s">
        <v>203</v>
      </c>
      <c r="B29" s="58">
        <v>12869</v>
      </c>
      <c r="C29" s="48">
        <v>12696</v>
      </c>
      <c r="D29" s="48">
        <v>13041</v>
      </c>
      <c r="E29" s="48">
        <v>13467</v>
      </c>
      <c r="F29" s="48">
        <v>13506</v>
      </c>
      <c r="G29" s="48">
        <v>13637</v>
      </c>
      <c r="H29" s="48">
        <v>13813</v>
      </c>
      <c r="I29" s="85"/>
      <c r="J29" s="70">
        <f t="shared" si="3"/>
        <v>5.9678296681948871E-2</v>
      </c>
      <c r="K29" s="70">
        <f t="shared" si="0"/>
        <v>7.3354573004895479E-2</v>
      </c>
      <c r="L29" s="70">
        <f t="shared" si="1"/>
        <v>2.2730638234858581E-2</v>
      </c>
      <c r="M29" s="70">
        <f t="shared" si="2"/>
        <v>1.2906064383662095E-2</v>
      </c>
      <c r="N29" s="70"/>
      <c r="O29" s="44"/>
      <c r="Q29" s="172"/>
      <c r="R29" s="70"/>
    </row>
    <row r="30" spans="1:18" x14ac:dyDescent="0.25">
      <c r="A30" s="60" t="s">
        <v>204</v>
      </c>
      <c r="B30" s="58">
        <v>831191</v>
      </c>
      <c r="C30" s="48">
        <v>810913</v>
      </c>
      <c r="D30" s="48">
        <v>833301</v>
      </c>
      <c r="E30" s="48">
        <v>862536</v>
      </c>
      <c r="F30" s="48">
        <v>849646</v>
      </c>
      <c r="G30" s="48">
        <v>877536</v>
      </c>
      <c r="H30" s="48">
        <v>897338</v>
      </c>
      <c r="I30" s="85"/>
      <c r="J30" s="70">
        <f t="shared" si="3"/>
        <v>5.5757340972171256E-2</v>
      </c>
      <c r="K30" s="70">
        <f t="shared" si="0"/>
        <v>7.958098680086767E-2</v>
      </c>
      <c r="L30" s="70">
        <f t="shared" si="1"/>
        <v>5.6131612459777366E-2</v>
      </c>
      <c r="M30" s="70">
        <f t="shared" si="2"/>
        <v>2.2565456004084165E-2</v>
      </c>
      <c r="N30" s="70"/>
      <c r="O30" s="44"/>
      <c r="Q30" s="172"/>
      <c r="R30" s="70"/>
    </row>
    <row r="31" spans="1:18" x14ac:dyDescent="0.25">
      <c r="A31" s="25" t="s">
        <v>207</v>
      </c>
      <c r="B31" s="58">
        <v>11469</v>
      </c>
      <c r="C31" s="48">
        <v>11129</v>
      </c>
      <c r="D31" s="48">
        <v>11480</v>
      </c>
      <c r="E31" s="48">
        <v>11539</v>
      </c>
      <c r="F31" s="48">
        <v>11082</v>
      </c>
      <c r="G31" s="48">
        <v>11374</v>
      </c>
      <c r="H31" s="48">
        <v>11578</v>
      </c>
      <c r="I31" s="85"/>
      <c r="J31" s="70">
        <f t="shared" si="3"/>
        <v>-8.2831981864155552E-3</v>
      </c>
      <c r="K31" s="70">
        <f t="shared" si="0"/>
        <v>9.5038800244136371E-3</v>
      </c>
      <c r="L31" s="70">
        <f t="shared" si="1"/>
        <v>4.4757264031763222E-2</v>
      </c>
      <c r="M31" s="70">
        <f t="shared" si="2"/>
        <v>1.7935642693863198E-2</v>
      </c>
      <c r="N31" s="70"/>
      <c r="O31" s="44"/>
      <c r="Q31" s="172"/>
      <c r="R31" s="70"/>
    </row>
    <row r="32" spans="1:18" x14ac:dyDescent="0.25">
      <c r="A32" s="25" t="s">
        <v>208</v>
      </c>
      <c r="B32" s="58">
        <v>11028</v>
      </c>
      <c r="C32" s="48">
        <v>9786</v>
      </c>
      <c r="D32" s="48">
        <v>10083</v>
      </c>
      <c r="E32" s="48">
        <v>10242</v>
      </c>
      <c r="F32" s="48">
        <v>9880</v>
      </c>
      <c r="G32" s="48">
        <v>10143</v>
      </c>
      <c r="H32" s="48">
        <v>10241</v>
      </c>
      <c r="I32" s="85"/>
      <c r="J32" s="70">
        <f t="shared" si="3"/>
        <v>-8.0250272034820463E-2</v>
      </c>
      <c r="K32" s="70">
        <f t="shared" si="0"/>
        <v>-7.1363801233224514E-2</v>
      </c>
      <c r="L32" s="70">
        <f t="shared" si="1"/>
        <v>3.653846153846154E-2</v>
      </c>
      <c r="M32" s="70">
        <f t="shared" si="2"/>
        <v>9.6618357487922701E-3</v>
      </c>
      <c r="N32" s="70"/>
      <c r="O32" s="44"/>
      <c r="Q32" s="172"/>
      <c r="R32" s="70"/>
    </row>
    <row r="33" spans="1:18" x14ac:dyDescent="0.25">
      <c r="A33" s="25" t="s">
        <v>209</v>
      </c>
      <c r="B33" s="58">
        <v>240348</v>
      </c>
      <c r="C33" s="48">
        <v>242440</v>
      </c>
      <c r="D33" s="48">
        <v>241562</v>
      </c>
      <c r="E33" s="48">
        <v>248821</v>
      </c>
      <c r="F33" s="48">
        <v>250940</v>
      </c>
      <c r="G33" s="48">
        <v>255095</v>
      </c>
      <c r="H33" s="48">
        <v>257889</v>
      </c>
      <c r="I33" s="85"/>
      <c r="J33" s="70">
        <f t="shared" si="3"/>
        <v>6.1356865877810508E-2</v>
      </c>
      <c r="K33" s="70">
        <f t="shared" si="0"/>
        <v>7.2981676568974987E-2</v>
      </c>
      <c r="L33" s="70">
        <f t="shared" si="1"/>
        <v>2.7691878536702002E-2</v>
      </c>
      <c r="M33" s="70">
        <f t="shared" si="2"/>
        <v>1.0952782296791391E-2</v>
      </c>
      <c r="N33" s="70"/>
      <c r="O33" s="44"/>
      <c r="Q33" s="172"/>
      <c r="R33" s="70"/>
    </row>
    <row r="34" spans="1:18" x14ac:dyDescent="0.25">
      <c r="A34" s="25" t="s">
        <v>210</v>
      </c>
      <c r="B34" s="58">
        <v>139301</v>
      </c>
      <c r="C34" s="48">
        <v>133470</v>
      </c>
      <c r="D34" s="48">
        <v>137364</v>
      </c>
      <c r="E34" s="48">
        <v>145035</v>
      </c>
      <c r="F34" s="48">
        <v>142029</v>
      </c>
      <c r="G34" s="48">
        <v>150004</v>
      </c>
      <c r="H34" s="48">
        <v>153566</v>
      </c>
      <c r="I34" s="85"/>
      <c r="J34" s="70">
        <f t="shared" si="3"/>
        <v>7.6833619284857976E-2</v>
      </c>
      <c r="K34" s="70">
        <f t="shared" si="0"/>
        <v>0.10240414641675222</v>
      </c>
      <c r="L34" s="70">
        <f t="shared" si="1"/>
        <v>8.1229889670419428E-2</v>
      </c>
      <c r="M34" s="70">
        <f t="shared" si="2"/>
        <v>2.3746033439108291E-2</v>
      </c>
      <c r="N34" s="70"/>
      <c r="O34" s="44"/>
      <c r="Q34" s="172"/>
      <c r="R34" s="70"/>
    </row>
    <row r="35" spans="1:18" x14ac:dyDescent="0.25">
      <c r="A35" s="25" t="s">
        <v>211</v>
      </c>
      <c r="B35" s="58">
        <v>60721</v>
      </c>
      <c r="C35" s="48">
        <v>57629</v>
      </c>
      <c r="D35" s="48">
        <v>59304</v>
      </c>
      <c r="E35" s="48">
        <v>59683</v>
      </c>
      <c r="F35" s="48">
        <v>57033</v>
      </c>
      <c r="G35" s="48">
        <v>59019</v>
      </c>
      <c r="H35" s="48">
        <v>59503</v>
      </c>
      <c r="I35" s="85"/>
      <c r="J35" s="70">
        <f t="shared" si="3"/>
        <v>-2.8029841405773949E-2</v>
      </c>
      <c r="K35" s="70">
        <f t="shared" si="0"/>
        <v>-2.005895818580063E-2</v>
      </c>
      <c r="L35" s="70">
        <f t="shared" si="1"/>
        <v>4.3308260130100119E-2</v>
      </c>
      <c r="M35" s="70">
        <f t="shared" si="2"/>
        <v>8.2007489113675256E-3</v>
      </c>
      <c r="N35" s="70"/>
      <c r="O35" s="44"/>
      <c r="Q35" s="172"/>
      <c r="R35" s="70"/>
    </row>
    <row r="36" spans="1:18" x14ac:dyDescent="0.25">
      <c r="A36" s="25" t="s">
        <v>212</v>
      </c>
      <c r="B36" s="58">
        <v>136436</v>
      </c>
      <c r="C36" s="48">
        <v>130391</v>
      </c>
      <c r="D36" s="48">
        <v>135693</v>
      </c>
      <c r="E36" s="48">
        <v>139207</v>
      </c>
      <c r="F36" s="48">
        <v>133091</v>
      </c>
      <c r="G36" s="48">
        <v>136905</v>
      </c>
      <c r="H36" s="48">
        <v>140584</v>
      </c>
      <c r="I36" s="85"/>
      <c r="J36" s="70">
        <f t="shared" si="3"/>
        <v>3.4375091618048022E-3</v>
      </c>
      <c r="K36" s="70">
        <f t="shared" si="0"/>
        <v>3.0402533055791728E-2</v>
      </c>
      <c r="L36" s="70">
        <f t="shared" si="1"/>
        <v>5.6299824931813569E-2</v>
      </c>
      <c r="M36" s="70">
        <f t="shared" si="2"/>
        <v>2.6872648917132317E-2</v>
      </c>
      <c r="N36" s="70"/>
      <c r="O36" s="44"/>
      <c r="Q36" s="172"/>
      <c r="R36" s="70"/>
    </row>
    <row r="37" spans="1:18" x14ac:dyDescent="0.25">
      <c r="A37" s="25" t="s">
        <v>213</v>
      </c>
      <c r="B37" s="58">
        <v>80206</v>
      </c>
      <c r="C37" s="48">
        <v>76737</v>
      </c>
      <c r="D37" s="48">
        <v>79792</v>
      </c>
      <c r="E37" s="48">
        <v>82758</v>
      </c>
      <c r="F37" s="48">
        <v>81202</v>
      </c>
      <c r="G37" s="48">
        <v>83961</v>
      </c>
      <c r="H37" s="48">
        <v>85619</v>
      </c>
      <c r="I37" s="85"/>
      <c r="J37" s="70">
        <f t="shared" si="3"/>
        <v>4.6816946363114981E-2</v>
      </c>
      <c r="K37" s="70">
        <f t="shared" ref="K37:K65" si="4">(H37-B37)/B37</f>
        <v>6.7488716554871209E-2</v>
      </c>
      <c r="L37" s="70">
        <f t="shared" ref="L37:L65" si="5">(H37-F37)/F37</f>
        <v>5.4395211940592596E-2</v>
      </c>
      <c r="M37" s="70">
        <f t="shared" ref="M37:M65" si="6">(H37-G37)/G37</f>
        <v>1.9747263610485819E-2</v>
      </c>
      <c r="N37" s="70"/>
      <c r="O37" s="44"/>
      <c r="Q37" s="172"/>
      <c r="R37" s="70"/>
    </row>
    <row r="38" spans="1:18" x14ac:dyDescent="0.25">
      <c r="A38" s="25" t="s">
        <v>214</v>
      </c>
      <c r="B38" s="58">
        <v>118435</v>
      </c>
      <c r="C38" s="48">
        <v>117254</v>
      </c>
      <c r="D38" s="48">
        <v>125245</v>
      </c>
      <c r="E38" s="48">
        <v>132265</v>
      </c>
      <c r="F38" s="48">
        <v>132319</v>
      </c>
      <c r="G38" s="48">
        <v>138045</v>
      </c>
      <c r="H38" s="48">
        <v>144674</v>
      </c>
      <c r="I38" s="85"/>
      <c r="J38" s="70">
        <f t="shared" si="3"/>
        <v>0.16557605437581796</v>
      </c>
      <c r="K38" s="70">
        <f t="shared" si="4"/>
        <v>0.22154768438383923</v>
      </c>
      <c r="L38" s="70">
        <f t="shared" si="5"/>
        <v>9.33728338333875E-2</v>
      </c>
      <c r="M38" s="70">
        <f t="shared" si="6"/>
        <v>4.8020573001557466E-2</v>
      </c>
      <c r="N38" s="70"/>
      <c r="O38" s="44"/>
      <c r="Q38" s="172"/>
      <c r="R38" s="70"/>
    </row>
    <row r="39" spans="1:18" x14ac:dyDescent="0.25">
      <c r="A39" s="25" t="s">
        <v>215</v>
      </c>
      <c r="B39" s="58">
        <v>33247</v>
      </c>
      <c r="C39" s="48">
        <v>32077</v>
      </c>
      <c r="D39" s="48">
        <v>32778</v>
      </c>
      <c r="E39" s="48">
        <v>32986</v>
      </c>
      <c r="F39" s="48">
        <v>32071</v>
      </c>
      <c r="G39" s="48">
        <v>32991</v>
      </c>
      <c r="H39" s="48">
        <v>33683</v>
      </c>
      <c r="I39" s="85"/>
      <c r="J39" s="70">
        <f t="shared" si="3"/>
        <v>-7.6999428519866457E-3</v>
      </c>
      <c r="K39" s="70">
        <f t="shared" si="4"/>
        <v>1.3113965169789755E-2</v>
      </c>
      <c r="L39" s="70">
        <f t="shared" si="5"/>
        <v>5.0263477908390759E-2</v>
      </c>
      <c r="M39" s="70">
        <f t="shared" si="6"/>
        <v>2.0975417538116457E-2</v>
      </c>
      <c r="N39" s="70"/>
      <c r="O39" s="44"/>
      <c r="Q39" s="172"/>
      <c r="R39" s="70"/>
    </row>
    <row r="40" spans="1:18" x14ac:dyDescent="0.25">
      <c r="A40" s="60" t="s">
        <v>216</v>
      </c>
      <c r="B40" s="58">
        <v>312221</v>
      </c>
      <c r="C40" s="48">
        <v>296682</v>
      </c>
      <c r="D40" s="48">
        <v>307739</v>
      </c>
      <c r="E40" s="48">
        <v>313458</v>
      </c>
      <c r="F40" s="48">
        <v>303571</v>
      </c>
      <c r="G40" s="48">
        <v>313576</v>
      </c>
      <c r="H40" s="48">
        <v>321303</v>
      </c>
      <c r="I40" s="85"/>
      <c r="J40" s="70">
        <f t="shared" si="3"/>
        <v>4.3398746400786625E-3</v>
      </c>
      <c r="K40" s="70">
        <f t="shared" si="4"/>
        <v>2.9088370096822445E-2</v>
      </c>
      <c r="L40" s="70">
        <f t="shared" si="5"/>
        <v>5.8411376580766936E-2</v>
      </c>
      <c r="M40" s="70">
        <f t="shared" si="6"/>
        <v>2.4641554200576576E-2</v>
      </c>
      <c r="N40" s="70"/>
      <c r="O40" s="44"/>
      <c r="Q40" s="172"/>
      <c r="R40" s="70"/>
    </row>
    <row r="41" spans="1:18" x14ac:dyDescent="0.25">
      <c r="A41" s="25" t="s">
        <v>217</v>
      </c>
      <c r="B41" s="58">
        <v>88095</v>
      </c>
      <c r="C41" s="48">
        <v>83396</v>
      </c>
      <c r="D41" s="48">
        <v>85585</v>
      </c>
      <c r="E41" s="48">
        <v>87028</v>
      </c>
      <c r="F41" s="48">
        <v>84880</v>
      </c>
      <c r="G41" s="48">
        <v>87523</v>
      </c>
      <c r="H41" s="48">
        <v>89221</v>
      </c>
      <c r="I41" s="85"/>
      <c r="J41" s="70">
        <f t="shared" si="3"/>
        <v>-6.4929905215960039E-3</v>
      </c>
      <c r="K41" s="70">
        <f t="shared" si="4"/>
        <v>1.2781656166638289E-2</v>
      </c>
      <c r="L41" s="70">
        <f t="shared" si="5"/>
        <v>5.1142789820923656E-2</v>
      </c>
      <c r="M41" s="70">
        <f t="shared" si="6"/>
        <v>1.9400614695565737E-2</v>
      </c>
      <c r="N41" s="70"/>
      <c r="O41" s="44"/>
      <c r="Q41" s="172"/>
      <c r="R41" s="70"/>
    </row>
    <row r="42" spans="1:18" x14ac:dyDescent="0.25">
      <c r="A42" s="25" t="s">
        <v>218</v>
      </c>
      <c r="B42" s="58">
        <v>75345</v>
      </c>
      <c r="C42" s="48">
        <v>71800</v>
      </c>
      <c r="D42" s="48">
        <v>74517</v>
      </c>
      <c r="E42" s="48">
        <v>75339</v>
      </c>
      <c r="F42" s="48">
        <v>71223</v>
      </c>
      <c r="G42" s="48">
        <v>74406</v>
      </c>
      <c r="H42" s="48">
        <v>75919</v>
      </c>
      <c r="I42" s="85"/>
      <c r="J42" s="70">
        <f t="shared" si="3"/>
        <v>-1.2462671710133386E-2</v>
      </c>
      <c r="K42" s="70">
        <f t="shared" si="4"/>
        <v>7.6182892029995359E-3</v>
      </c>
      <c r="L42" s="70">
        <f t="shared" si="5"/>
        <v>6.5933757353663844E-2</v>
      </c>
      <c r="M42" s="70">
        <f t="shared" si="6"/>
        <v>2.0334381635889579E-2</v>
      </c>
      <c r="N42" s="70"/>
      <c r="O42" s="44"/>
      <c r="Q42" s="172"/>
      <c r="R42" s="70"/>
    </row>
    <row r="43" spans="1:18" x14ac:dyDescent="0.25">
      <c r="A43" s="25" t="s">
        <v>219</v>
      </c>
      <c r="B43" s="58">
        <v>48951</v>
      </c>
      <c r="C43" s="48">
        <v>46482</v>
      </c>
      <c r="D43" s="48">
        <v>48015</v>
      </c>
      <c r="E43" s="48">
        <v>48980</v>
      </c>
      <c r="F43" s="48">
        <v>48422</v>
      </c>
      <c r="G43" s="48">
        <v>48685</v>
      </c>
      <c r="H43" s="48">
        <v>49611</v>
      </c>
      <c r="I43" s="85"/>
      <c r="J43" s="70">
        <f t="shared" si="3"/>
        <v>-5.4340054340054336E-3</v>
      </c>
      <c r="K43" s="70">
        <f t="shared" si="4"/>
        <v>1.3482870625727769E-2</v>
      </c>
      <c r="L43" s="70">
        <f t="shared" si="5"/>
        <v>2.4554954359588616E-2</v>
      </c>
      <c r="M43" s="70">
        <f t="shared" si="6"/>
        <v>1.9020232104344253E-2</v>
      </c>
      <c r="N43" s="70"/>
      <c r="O43" s="44"/>
      <c r="Q43" s="172"/>
      <c r="R43" s="70"/>
    </row>
    <row r="44" spans="1:18" x14ac:dyDescent="0.25">
      <c r="A44" s="25" t="s">
        <v>220</v>
      </c>
      <c r="B44" s="58">
        <v>99829</v>
      </c>
      <c r="C44" s="48">
        <v>95004</v>
      </c>
      <c r="D44" s="48">
        <v>99621</v>
      </c>
      <c r="E44" s="48">
        <v>102112</v>
      </c>
      <c r="F44" s="48">
        <v>99046</v>
      </c>
      <c r="G44" s="48">
        <v>102962</v>
      </c>
      <c r="H44" s="48">
        <v>106552</v>
      </c>
      <c r="I44" s="85"/>
      <c r="J44" s="70">
        <f t="shared" si="3"/>
        <v>3.1383666068977953E-2</v>
      </c>
      <c r="K44" s="70">
        <f t="shared" si="4"/>
        <v>6.7345160223983014E-2</v>
      </c>
      <c r="L44" s="70">
        <f t="shared" si="5"/>
        <v>7.5782969529309616E-2</v>
      </c>
      <c r="M44" s="70">
        <f t="shared" si="6"/>
        <v>3.4867232571239873E-2</v>
      </c>
      <c r="N44" s="70"/>
      <c r="O44" s="44"/>
      <c r="Q44" s="172"/>
      <c r="R44" s="70"/>
    </row>
    <row r="45" spans="1:18" x14ac:dyDescent="0.25">
      <c r="A45" s="60" t="s">
        <v>221</v>
      </c>
      <c r="B45" s="58">
        <v>635361</v>
      </c>
      <c r="C45" s="48">
        <v>624140</v>
      </c>
      <c r="D45" s="48">
        <v>639636</v>
      </c>
      <c r="E45" s="48">
        <v>689025</v>
      </c>
      <c r="F45" s="48">
        <v>705823</v>
      </c>
      <c r="G45" s="48">
        <v>722768</v>
      </c>
      <c r="H45" s="48">
        <v>745852</v>
      </c>
      <c r="I45" s="85"/>
      <c r="J45" s="70">
        <f t="shared" si="3"/>
        <v>0.13757060946454064</v>
      </c>
      <c r="K45" s="70">
        <f t="shared" si="4"/>
        <v>0.17390271042761515</v>
      </c>
      <c r="L45" s="70">
        <f t="shared" si="5"/>
        <v>5.6712518577603732E-2</v>
      </c>
      <c r="M45" s="70">
        <f t="shared" si="6"/>
        <v>3.1938325991189426E-2</v>
      </c>
      <c r="N45" s="70"/>
      <c r="O45" s="44"/>
      <c r="Q45" s="172"/>
      <c r="R45" s="70"/>
    </row>
    <row r="46" spans="1:18" x14ac:dyDescent="0.25">
      <c r="A46" s="25" t="s">
        <v>222</v>
      </c>
      <c r="B46" s="58">
        <v>48093</v>
      </c>
      <c r="C46" s="48">
        <v>45851</v>
      </c>
      <c r="D46" s="48">
        <v>48663</v>
      </c>
      <c r="E46" s="48">
        <v>48998</v>
      </c>
      <c r="F46" s="48">
        <v>48649</v>
      </c>
      <c r="G46" s="48">
        <v>49896</v>
      </c>
      <c r="H46" s="48">
        <v>52963</v>
      </c>
      <c r="I46" s="85"/>
      <c r="J46" s="70">
        <f t="shared" si="3"/>
        <v>3.7489863389682493E-2</v>
      </c>
      <c r="K46" s="70">
        <f t="shared" si="4"/>
        <v>0.1012621379410725</v>
      </c>
      <c r="L46" s="70">
        <f t="shared" si="5"/>
        <v>8.8676026228699453E-2</v>
      </c>
      <c r="M46" s="70">
        <f t="shared" si="6"/>
        <v>6.1467853134519801E-2</v>
      </c>
      <c r="N46" s="70"/>
      <c r="O46" s="44"/>
      <c r="Q46" s="172"/>
      <c r="R46" s="70"/>
    </row>
    <row r="47" spans="1:18" x14ac:dyDescent="0.25">
      <c r="A47" s="25" t="s">
        <v>223</v>
      </c>
      <c r="B47" s="58">
        <v>93129</v>
      </c>
      <c r="C47" s="48">
        <v>89127</v>
      </c>
      <c r="D47" s="48">
        <v>90819</v>
      </c>
      <c r="E47" s="48">
        <v>95139</v>
      </c>
      <c r="F47" s="48">
        <v>95374</v>
      </c>
      <c r="G47" s="48">
        <v>95357</v>
      </c>
      <c r="H47" s="48">
        <v>98075</v>
      </c>
      <c r="I47" s="85"/>
      <c r="J47" s="70">
        <f t="shared" si="3"/>
        <v>2.392380461510378E-2</v>
      </c>
      <c r="K47" s="70">
        <f t="shared" si="4"/>
        <v>5.3109128198520331E-2</v>
      </c>
      <c r="L47" s="70">
        <f t="shared" si="5"/>
        <v>2.8320087235514921E-2</v>
      </c>
      <c r="M47" s="70">
        <f t="shared" si="6"/>
        <v>2.8503413488259906E-2</v>
      </c>
      <c r="N47" s="70"/>
      <c r="O47" s="44"/>
      <c r="Q47" s="172"/>
      <c r="R47" s="70"/>
    </row>
    <row r="48" spans="1:18" x14ac:dyDescent="0.25">
      <c r="A48" s="25" t="s">
        <v>224</v>
      </c>
      <c r="B48" s="58">
        <v>64796</v>
      </c>
      <c r="C48" s="48">
        <v>62299</v>
      </c>
      <c r="D48" s="48">
        <v>64525</v>
      </c>
      <c r="E48" s="48">
        <v>69487</v>
      </c>
      <c r="F48" s="48">
        <v>68979</v>
      </c>
      <c r="G48" s="48">
        <v>72084</v>
      </c>
      <c r="H48" s="48">
        <v>75115</v>
      </c>
      <c r="I48" s="85"/>
      <c r="J48" s="70">
        <f t="shared" si="3"/>
        <v>0.11247607877029446</v>
      </c>
      <c r="K48" s="70">
        <f t="shared" si="4"/>
        <v>0.15925365763318725</v>
      </c>
      <c r="L48" s="70">
        <f t="shared" si="5"/>
        <v>8.8954609373867413E-2</v>
      </c>
      <c r="M48" s="70">
        <f t="shared" si="6"/>
        <v>4.204816602852228E-2</v>
      </c>
      <c r="N48" s="70"/>
      <c r="O48" s="44"/>
      <c r="Q48" s="172"/>
      <c r="R48" s="70"/>
    </row>
    <row r="49" spans="1:18" x14ac:dyDescent="0.25">
      <c r="A49" s="25" t="s">
        <v>225</v>
      </c>
      <c r="B49" s="58">
        <v>429343</v>
      </c>
      <c r="C49" s="48">
        <v>426863</v>
      </c>
      <c r="D49" s="48">
        <v>435628</v>
      </c>
      <c r="E49" s="48">
        <v>475401</v>
      </c>
      <c r="F49" s="48">
        <v>492820</v>
      </c>
      <c r="G49" s="48">
        <v>505431</v>
      </c>
      <c r="H49" s="48">
        <v>519700</v>
      </c>
      <c r="I49" s="85"/>
      <c r="J49" s="70">
        <f t="shared" si="3"/>
        <v>0.17721961229133817</v>
      </c>
      <c r="K49" s="70">
        <f t="shared" si="4"/>
        <v>0.21045411244622597</v>
      </c>
      <c r="L49" s="70">
        <f t="shared" si="5"/>
        <v>5.4543240939896917E-2</v>
      </c>
      <c r="M49" s="70">
        <f t="shared" si="6"/>
        <v>2.8231351064734851E-2</v>
      </c>
      <c r="N49" s="70"/>
      <c r="O49" s="44"/>
      <c r="Q49" s="172"/>
      <c r="R49" s="70"/>
    </row>
    <row r="50" spans="1:18" x14ac:dyDescent="0.25">
      <c r="A50" s="60" t="s">
        <v>226</v>
      </c>
      <c r="B50" s="58">
        <v>283525</v>
      </c>
      <c r="C50" s="48">
        <v>287061</v>
      </c>
      <c r="D50" s="48">
        <v>290707</v>
      </c>
      <c r="E50" s="48">
        <v>299086</v>
      </c>
      <c r="F50" s="48">
        <v>299394</v>
      </c>
      <c r="G50" s="48">
        <v>312489</v>
      </c>
      <c r="H50" s="48">
        <v>314210</v>
      </c>
      <c r="I50" s="85"/>
      <c r="J50" s="70">
        <f t="shared" si="3"/>
        <v>0.10215677629838639</v>
      </c>
      <c r="K50" s="70">
        <f t="shared" si="4"/>
        <v>0.10822678776122036</v>
      </c>
      <c r="L50" s="70">
        <f t="shared" si="5"/>
        <v>4.9486629658576989E-2</v>
      </c>
      <c r="M50" s="70">
        <f t="shared" si="6"/>
        <v>5.5073938602638811E-3</v>
      </c>
      <c r="N50" s="70"/>
      <c r="O50" s="44"/>
      <c r="Q50" s="172"/>
      <c r="R50" s="70"/>
    </row>
    <row r="51" spans="1:18" x14ac:dyDescent="0.25">
      <c r="A51" s="25" t="s">
        <v>227</v>
      </c>
      <c r="B51" s="58">
        <v>77929</v>
      </c>
      <c r="C51" s="48">
        <v>81960</v>
      </c>
      <c r="D51" s="48">
        <v>81220</v>
      </c>
      <c r="E51" s="48">
        <v>84197</v>
      </c>
      <c r="F51" s="48">
        <v>85919</v>
      </c>
      <c r="G51" s="48">
        <v>90843</v>
      </c>
      <c r="H51" s="48">
        <v>91552</v>
      </c>
      <c r="I51" s="85"/>
      <c r="J51" s="70">
        <f t="shared" si="3"/>
        <v>0.16571494565566092</v>
      </c>
      <c r="K51" s="70">
        <f t="shared" si="4"/>
        <v>0.17481297078109562</v>
      </c>
      <c r="L51" s="70">
        <f t="shared" si="5"/>
        <v>6.5561750020368015E-2</v>
      </c>
      <c r="M51" s="70">
        <f t="shared" si="6"/>
        <v>7.8046739979965437E-3</v>
      </c>
      <c r="N51" s="70"/>
      <c r="O51" s="44"/>
      <c r="Q51" s="172"/>
      <c r="R51" s="70"/>
    </row>
    <row r="52" spans="1:18" x14ac:dyDescent="0.25">
      <c r="A52" s="25" t="s">
        <v>228</v>
      </c>
      <c r="B52" s="58">
        <v>56521</v>
      </c>
      <c r="C52" s="48">
        <v>56050</v>
      </c>
      <c r="D52" s="48">
        <v>56351</v>
      </c>
      <c r="E52" s="48">
        <v>56763</v>
      </c>
      <c r="F52" s="48">
        <v>55566</v>
      </c>
      <c r="G52" s="48">
        <v>56843</v>
      </c>
      <c r="H52" s="48">
        <v>56652</v>
      </c>
      <c r="I52" s="85"/>
      <c r="J52" s="70">
        <f t="shared" si="3"/>
        <v>5.6969975761221496E-3</v>
      </c>
      <c r="K52" s="70">
        <f t="shared" si="4"/>
        <v>2.3177226163726755E-3</v>
      </c>
      <c r="L52" s="70">
        <f t="shared" si="5"/>
        <v>1.9544325666774647E-2</v>
      </c>
      <c r="M52" s="70">
        <f t="shared" si="6"/>
        <v>-3.3601322942138872E-3</v>
      </c>
      <c r="N52" s="70"/>
      <c r="O52" s="44"/>
      <c r="Q52" s="172"/>
      <c r="R52" s="70"/>
    </row>
    <row r="53" spans="1:18" x14ac:dyDescent="0.25">
      <c r="A53" s="25" t="s">
        <v>229</v>
      </c>
      <c r="B53" s="58">
        <v>23985</v>
      </c>
      <c r="C53" s="48">
        <v>24461</v>
      </c>
      <c r="D53" s="48">
        <v>25286</v>
      </c>
      <c r="E53" s="48">
        <v>26201</v>
      </c>
      <c r="F53" s="48">
        <v>25674</v>
      </c>
      <c r="G53" s="48">
        <v>26370</v>
      </c>
      <c r="H53" s="48">
        <v>26800</v>
      </c>
      <c r="I53" s="85"/>
      <c r="J53" s="70">
        <f t="shared" si="3"/>
        <v>9.9437148217636023E-2</v>
      </c>
      <c r="K53" s="70">
        <f t="shared" si="4"/>
        <v>0.11736501980404419</v>
      </c>
      <c r="L53" s="70">
        <f t="shared" si="5"/>
        <v>4.3857599127522004E-2</v>
      </c>
      <c r="M53" s="70">
        <f t="shared" si="6"/>
        <v>1.6306408797876374E-2</v>
      </c>
      <c r="N53" s="70"/>
      <c r="O53" s="44"/>
      <c r="Q53" s="172"/>
      <c r="R53" s="70"/>
    </row>
    <row r="54" spans="1:18" x14ac:dyDescent="0.25">
      <c r="A54" s="25" t="s">
        <v>230</v>
      </c>
      <c r="B54" s="58">
        <v>15321</v>
      </c>
      <c r="C54" s="48">
        <v>14584</v>
      </c>
      <c r="D54" s="48">
        <v>14962</v>
      </c>
      <c r="E54" s="48">
        <v>15584</v>
      </c>
      <c r="F54" s="48">
        <v>15505</v>
      </c>
      <c r="G54" s="48">
        <v>15567</v>
      </c>
      <c r="H54" s="48">
        <v>15371</v>
      </c>
      <c r="I54" s="85"/>
      <c r="J54" s="70">
        <f t="shared" si="3"/>
        <v>1.605639318582338E-2</v>
      </c>
      <c r="K54" s="70">
        <f t="shared" si="4"/>
        <v>3.2634945499641016E-3</v>
      </c>
      <c r="L54" s="70">
        <f t="shared" si="5"/>
        <v>-8.6423734279264756E-3</v>
      </c>
      <c r="M54" s="70">
        <f t="shared" si="6"/>
        <v>-1.2590736815057494E-2</v>
      </c>
      <c r="N54" s="70"/>
      <c r="O54" s="44"/>
      <c r="Q54" s="172"/>
      <c r="R54" s="70"/>
    </row>
    <row r="55" spans="1:18" x14ac:dyDescent="0.25">
      <c r="A55" s="25" t="s">
        <v>231</v>
      </c>
      <c r="B55" s="58">
        <v>36982</v>
      </c>
      <c r="C55" s="48">
        <v>38234</v>
      </c>
      <c r="D55" s="48">
        <v>39032</v>
      </c>
      <c r="E55" s="48">
        <v>39320</v>
      </c>
      <c r="F55" s="48">
        <v>38249</v>
      </c>
      <c r="G55" s="48">
        <v>40665</v>
      </c>
      <c r="H55" s="48">
        <v>39846</v>
      </c>
      <c r="I55" s="85"/>
      <c r="J55" s="70">
        <f t="shared" si="3"/>
        <v>9.9588989238007686E-2</v>
      </c>
      <c r="K55" s="70">
        <f t="shared" si="4"/>
        <v>7.7443080417500407E-2</v>
      </c>
      <c r="L55" s="70">
        <f t="shared" si="5"/>
        <v>4.175272556145259E-2</v>
      </c>
      <c r="M55" s="70">
        <f t="shared" si="6"/>
        <v>-2.0140169679085208E-2</v>
      </c>
      <c r="N55" s="70"/>
      <c r="O55" s="44"/>
      <c r="Q55" s="172"/>
      <c r="R55" s="70"/>
    </row>
    <row r="56" spans="1:18" x14ac:dyDescent="0.25">
      <c r="A56" s="25" t="s">
        <v>232</v>
      </c>
      <c r="B56" s="58">
        <v>24880</v>
      </c>
      <c r="C56" s="48">
        <v>24777</v>
      </c>
      <c r="D56" s="48">
        <v>25394</v>
      </c>
      <c r="E56" s="48">
        <v>27156</v>
      </c>
      <c r="F56" s="48">
        <v>28347</v>
      </c>
      <c r="G56" s="48">
        <v>30296</v>
      </c>
      <c r="H56" s="48">
        <v>31578</v>
      </c>
      <c r="I56" s="85"/>
      <c r="J56" s="70">
        <f t="shared" si="3"/>
        <v>0.21768488745980707</v>
      </c>
      <c r="K56" s="70">
        <f t="shared" si="4"/>
        <v>0.26921221864951767</v>
      </c>
      <c r="L56" s="70">
        <f t="shared" si="5"/>
        <v>0.1139803153772886</v>
      </c>
      <c r="M56" s="70">
        <f t="shared" si="6"/>
        <v>4.2315817269606551E-2</v>
      </c>
      <c r="N56" s="70"/>
      <c r="O56" s="44"/>
      <c r="Q56" s="172"/>
      <c r="R56" s="70"/>
    </row>
    <row r="57" spans="1:18" x14ac:dyDescent="0.25">
      <c r="A57" s="25" t="s">
        <v>233</v>
      </c>
      <c r="B57" s="58">
        <v>31143</v>
      </c>
      <c r="C57" s="48">
        <v>31663</v>
      </c>
      <c r="D57" s="48">
        <v>32678</v>
      </c>
      <c r="E57" s="48">
        <v>33366</v>
      </c>
      <c r="F57" s="48">
        <v>33344</v>
      </c>
      <c r="G57" s="48">
        <v>34688</v>
      </c>
      <c r="H57" s="48">
        <v>35074</v>
      </c>
      <c r="I57" s="85"/>
      <c r="J57" s="70">
        <f t="shared" si="3"/>
        <v>0.11382975307452718</v>
      </c>
      <c r="K57" s="70">
        <f t="shared" si="4"/>
        <v>0.12622419163214849</v>
      </c>
      <c r="L57" s="70">
        <f t="shared" si="5"/>
        <v>5.1883397312859882E-2</v>
      </c>
      <c r="M57" s="70">
        <f t="shared" si="6"/>
        <v>1.1127767527675277E-2</v>
      </c>
      <c r="N57" s="70"/>
      <c r="O57" s="44"/>
      <c r="Q57" s="172"/>
      <c r="R57" s="70"/>
    </row>
    <row r="58" spans="1:18" x14ac:dyDescent="0.25">
      <c r="A58" s="25" t="s">
        <v>234</v>
      </c>
      <c r="B58" s="58">
        <v>16763</v>
      </c>
      <c r="C58" s="48">
        <v>15331</v>
      </c>
      <c r="D58" s="48">
        <v>15785</v>
      </c>
      <c r="E58" s="48">
        <v>16499</v>
      </c>
      <c r="F58" s="48">
        <v>16790</v>
      </c>
      <c r="G58" s="48">
        <v>17217</v>
      </c>
      <c r="H58" s="48">
        <v>17336</v>
      </c>
      <c r="I58" s="85"/>
      <c r="J58" s="70">
        <f t="shared" si="3"/>
        <v>2.7083457614985384E-2</v>
      </c>
      <c r="K58" s="70">
        <f t="shared" si="4"/>
        <v>3.4182425580146752E-2</v>
      </c>
      <c r="L58" s="70">
        <f t="shared" si="5"/>
        <v>3.2519356759976178E-2</v>
      </c>
      <c r="M58" s="70">
        <f t="shared" si="6"/>
        <v>6.911773247371784E-3</v>
      </c>
      <c r="N58" s="70"/>
      <c r="O58" s="44"/>
      <c r="Q58" s="172"/>
      <c r="R58" s="70"/>
    </row>
    <row r="59" spans="1:18" x14ac:dyDescent="0.25">
      <c r="A59" s="60" t="s">
        <v>235</v>
      </c>
      <c r="B59" s="58">
        <v>391836</v>
      </c>
      <c r="C59" s="48">
        <v>387900</v>
      </c>
      <c r="D59" s="48">
        <v>389584</v>
      </c>
      <c r="E59" s="48">
        <v>399093</v>
      </c>
      <c r="F59" s="48">
        <v>387018</v>
      </c>
      <c r="G59" s="48">
        <v>395379</v>
      </c>
      <c r="H59" s="48">
        <v>390568</v>
      </c>
      <c r="I59" s="85"/>
      <c r="J59" s="70">
        <f t="shared" si="3"/>
        <v>9.0420482038403825E-3</v>
      </c>
      <c r="K59" s="70">
        <f t="shared" si="4"/>
        <v>-3.2360477342561686E-3</v>
      </c>
      <c r="L59" s="70">
        <f t="shared" si="5"/>
        <v>9.1726999777788105E-3</v>
      </c>
      <c r="M59" s="70">
        <f t="shared" si="6"/>
        <v>-1.2168071647710171E-2</v>
      </c>
      <c r="N59" s="70"/>
      <c r="O59" s="44"/>
      <c r="Q59" s="172"/>
      <c r="R59" s="70"/>
    </row>
    <row r="60" spans="1:18" x14ac:dyDescent="0.25">
      <c r="A60" s="25" t="s">
        <v>236</v>
      </c>
      <c r="B60" s="58">
        <v>250379</v>
      </c>
      <c r="C60" s="48">
        <v>250175</v>
      </c>
      <c r="D60" s="48">
        <v>247250</v>
      </c>
      <c r="E60" s="48">
        <v>251869</v>
      </c>
      <c r="F60" s="48">
        <v>239480</v>
      </c>
      <c r="G60" s="48">
        <v>245717</v>
      </c>
      <c r="H60" s="48">
        <v>237957</v>
      </c>
      <c r="I60" s="85"/>
      <c r="J60" s="70">
        <f t="shared" si="3"/>
        <v>-1.8619772425003695E-2</v>
      </c>
      <c r="K60" s="70">
        <f t="shared" si="4"/>
        <v>-4.9612787014885432E-2</v>
      </c>
      <c r="L60" s="70">
        <f t="shared" si="5"/>
        <v>-6.3596124937364291E-3</v>
      </c>
      <c r="M60" s="70">
        <f t="shared" si="6"/>
        <v>-3.1581046488439957E-2</v>
      </c>
      <c r="N60" s="70"/>
      <c r="O60" s="44"/>
      <c r="Q60" s="172"/>
      <c r="R60" s="70"/>
    </row>
    <row r="61" spans="1:18" x14ac:dyDescent="0.25">
      <c r="A61" s="25" t="s">
        <v>237</v>
      </c>
      <c r="B61" s="58">
        <v>50404</v>
      </c>
      <c r="C61" s="48">
        <v>51019</v>
      </c>
      <c r="D61" s="48">
        <v>54135</v>
      </c>
      <c r="E61" s="48">
        <v>56327</v>
      </c>
      <c r="F61" s="48">
        <v>57985</v>
      </c>
      <c r="G61" s="48">
        <v>59681</v>
      </c>
      <c r="H61" s="48">
        <v>61567</v>
      </c>
      <c r="I61" s="85"/>
      <c r="J61" s="70">
        <f t="shared" si="3"/>
        <v>0.18405285294817872</v>
      </c>
      <c r="K61" s="70">
        <f t="shared" si="4"/>
        <v>0.22147051821284025</v>
      </c>
      <c r="L61" s="70">
        <f t="shared" si="5"/>
        <v>6.1774596878503063E-2</v>
      </c>
      <c r="M61" s="70">
        <f t="shared" si="6"/>
        <v>3.1601347162413501E-2</v>
      </c>
      <c r="N61" s="70"/>
      <c r="O61" s="44"/>
      <c r="Q61" s="172"/>
      <c r="R61" s="70"/>
    </row>
    <row r="62" spans="1:18" x14ac:dyDescent="0.25">
      <c r="A62" s="25" t="s">
        <v>238</v>
      </c>
      <c r="B62" s="58">
        <v>91053</v>
      </c>
      <c r="C62" s="48">
        <v>86706</v>
      </c>
      <c r="D62" s="48">
        <v>88199</v>
      </c>
      <c r="E62" s="48">
        <v>90897</v>
      </c>
      <c r="F62" s="48">
        <v>89553</v>
      </c>
      <c r="G62" s="48">
        <v>89982</v>
      </c>
      <c r="H62" s="48">
        <v>91044</v>
      </c>
      <c r="I62" s="85"/>
      <c r="J62" s="70">
        <f t="shared" si="3"/>
        <v>-1.1762380152219037E-2</v>
      </c>
      <c r="K62" s="70">
        <f t="shared" si="4"/>
        <v>-9.8843530690916276E-5</v>
      </c>
      <c r="L62" s="70">
        <f t="shared" si="5"/>
        <v>1.6649358480452917E-2</v>
      </c>
      <c r="M62" s="70">
        <f t="shared" si="6"/>
        <v>1.1802360472094419E-2</v>
      </c>
      <c r="N62" s="70"/>
      <c r="O62" s="44"/>
      <c r="Q62" s="172"/>
      <c r="R62" s="70"/>
    </row>
    <row r="63" spans="1:18" x14ac:dyDescent="0.25">
      <c r="A63" s="60" t="s">
        <v>239</v>
      </c>
      <c r="B63" s="58">
        <v>15272</v>
      </c>
      <c r="C63" s="48">
        <v>14714</v>
      </c>
      <c r="D63" s="48">
        <v>14906</v>
      </c>
      <c r="E63" s="48">
        <v>15041</v>
      </c>
      <c r="F63" s="48">
        <v>14952</v>
      </c>
      <c r="G63" s="48">
        <v>14999</v>
      </c>
      <c r="H63" s="48">
        <v>15255</v>
      </c>
      <c r="I63" s="85"/>
      <c r="J63" s="70">
        <f t="shared" si="3"/>
        <v>-1.7875851231011E-2</v>
      </c>
      <c r="K63" s="70">
        <f t="shared" si="4"/>
        <v>-1.1131482451545312E-3</v>
      </c>
      <c r="L63" s="70">
        <f t="shared" si="5"/>
        <v>2.0264847512038522E-2</v>
      </c>
      <c r="M63" s="70">
        <f t="shared" si="6"/>
        <v>1.7067804520301353E-2</v>
      </c>
      <c r="N63" s="70"/>
      <c r="O63" s="44"/>
      <c r="Q63" s="172"/>
      <c r="R63" s="70"/>
    </row>
    <row r="64" spans="1:18" x14ac:dyDescent="0.25">
      <c r="A64" s="25" t="s">
        <v>240</v>
      </c>
      <c r="B64" s="58">
        <v>5819</v>
      </c>
      <c r="C64" s="48">
        <v>5918</v>
      </c>
      <c r="D64" s="48">
        <v>5969</v>
      </c>
      <c r="E64" s="48">
        <v>6002</v>
      </c>
      <c r="F64" s="48">
        <v>6025</v>
      </c>
      <c r="G64" s="48">
        <v>6047</v>
      </c>
      <c r="H64" s="48">
        <v>6118</v>
      </c>
      <c r="I64" s="85"/>
      <c r="J64" s="70">
        <f t="shared" si="3"/>
        <v>3.9181990032651659E-2</v>
      </c>
      <c r="K64" s="70">
        <f t="shared" si="4"/>
        <v>5.1383399209486168E-2</v>
      </c>
      <c r="L64" s="70">
        <f t="shared" si="5"/>
        <v>1.5435684647302904E-2</v>
      </c>
      <c r="M64" s="70">
        <f t="shared" si="6"/>
        <v>1.1741359351744666E-2</v>
      </c>
      <c r="N64" s="70"/>
      <c r="O64" s="44"/>
      <c r="Q64" s="172"/>
      <c r="R64" s="70"/>
    </row>
    <row r="65" spans="1:18" x14ac:dyDescent="0.25">
      <c r="A65" s="25" t="s">
        <v>241</v>
      </c>
      <c r="B65" s="58">
        <v>9453</v>
      </c>
      <c r="C65" s="48">
        <v>8797</v>
      </c>
      <c r="D65" s="48">
        <v>8936</v>
      </c>
      <c r="E65" s="48">
        <v>9039</v>
      </c>
      <c r="F65" s="48">
        <v>8927</v>
      </c>
      <c r="G65" s="48">
        <v>8952</v>
      </c>
      <c r="H65" s="48">
        <v>9137</v>
      </c>
      <c r="I65" s="85"/>
      <c r="J65" s="70">
        <f t="shared" si="3"/>
        <v>-5.2999047921294826E-2</v>
      </c>
      <c r="K65" s="70">
        <f t="shared" si="4"/>
        <v>-3.342854120385063E-2</v>
      </c>
      <c r="L65" s="70">
        <f t="shared" si="5"/>
        <v>2.3524140248683767E-2</v>
      </c>
      <c r="M65" s="70">
        <f t="shared" si="6"/>
        <v>2.0665773011617514E-2</v>
      </c>
      <c r="N65" s="70"/>
      <c r="O65" s="44"/>
      <c r="Q65" s="172"/>
      <c r="R65" s="70"/>
    </row>
    <row r="66" spans="1:18" x14ac:dyDescent="0.25">
      <c r="A66" s="60" t="s">
        <v>242</v>
      </c>
      <c r="B66" s="58">
        <v>3811150</v>
      </c>
      <c r="C66" s="48">
        <v>3717674</v>
      </c>
      <c r="D66" s="48">
        <v>3805874</v>
      </c>
      <c r="E66" s="48">
        <v>3927169</v>
      </c>
      <c r="F66" s="48">
        <v>3874253</v>
      </c>
      <c r="G66" s="48">
        <v>3975382</v>
      </c>
      <c r="H66" s="48">
        <v>4058007</v>
      </c>
      <c r="I66" s="85"/>
      <c r="J66" s="70">
        <f>(G66-B66)/B66</f>
        <v>4.3092504886976371E-2</v>
      </c>
      <c r="K66" s="70">
        <f t="shared" ref="K66" si="7">(H66-B66)/B66</f>
        <v>6.4772312818965408E-2</v>
      </c>
      <c r="L66" s="70">
        <f t="shared" ref="L66" si="8">(H66-F66)/F66</f>
        <v>4.7429530286225499E-2</v>
      </c>
      <c r="M66" s="70">
        <f t="shared" ref="M66" si="9">(H66-G66)/G66</f>
        <v>2.0784166150573706E-2</v>
      </c>
      <c r="N66" s="70"/>
      <c r="O66" s="44"/>
      <c r="P66" s="61"/>
      <c r="Q66" s="26"/>
      <c r="R66" s="70"/>
    </row>
    <row r="68" spans="1:18" x14ac:dyDescent="0.25">
      <c r="R68" s="72"/>
    </row>
    <row r="69" spans="1:18" x14ac:dyDescent="0.25">
      <c r="A69" t="s">
        <v>197</v>
      </c>
      <c r="B69" s="28" t="s">
        <v>825</v>
      </c>
      <c r="D69" s="28"/>
      <c r="E69" s="28"/>
      <c r="F69" s="28"/>
      <c r="G69" s="28"/>
      <c r="H69" s="28"/>
      <c r="I69" s="28"/>
      <c r="J69" s="28"/>
      <c r="K69" s="28"/>
      <c r="L69" s="28"/>
      <c r="M69" s="28"/>
      <c r="N69" s="28"/>
    </row>
    <row r="70" spans="1:18" x14ac:dyDescent="0.25">
      <c r="A70"/>
      <c r="B70" s="28"/>
      <c r="D70" s="28"/>
      <c r="E70" s="28"/>
      <c r="F70" s="28"/>
      <c r="G70" s="28"/>
      <c r="H70" s="28"/>
      <c r="I70" s="28"/>
      <c r="J70" s="28"/>
      <c r="K70" s="28"/>
      <c r="L70" s="28"/>
      <c r="M70" s="28"/>
      <c r="N70" s="28"/>
    </row>
    <row r="71" spans="1:18" x14ac:dyDescent="0.25">
      <c r="A71" t="s">
        <v>205</v>
      </c>
      <c r="B71" s="28" t="s">
        <v>357</v>
      </c>
      <c r="D71" s="28"/>
      <c r="E71" s="28"/>
      <c r="F71" s="28"/>
      <c r="G71" s="28"/>
      <c r="H71" s="28"/>
      <c r="I71" s="28"/>
      <c r="J71" s="28"/>
      <c r="K71" s="28"/>
      <c r="L71" s="28"/>
      <c r="M71" s="28"/>
      <c r="N71" s="28"/>
    </row>
    <row r="75" spans="1:18" x14ac:dyDescent="0.25">
      <c r="C75" s="28"/>
      <c r="D75" s="28"/>
      <c r="E75" s="28"/>
      <c r="F75" s="28"/>
      <c r="G75" s="28"/>
      <c r="H75" s="28"/>
      <c r="I75" s="28"/>
      <c r="J75" s="28"/>
      <c r="K75" s="28"/>
      <c r="L75" s="28"/>
      <c r="M75" s="28"/>
      <c r="N75" s="2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0796-821B-4D3F-8A9A-E7B0471DAC42}">
  <sheetPr>
    <tabColor theme="5" tint="0.59999389629810485"/>
  </sheetPr>
  <dimension ref="A1:F25"/>
  <sheetViews>
    <sheetView workbookViewId="0">
      <selection activeCell="B19" sqref="B19"/>
    </sheetView>
  </sheetViews>
  <sheetFormatPr defaultRowHeight="15" x14ac:dyDescent="0.25"/>
  <cols>
    <col min="1" max="1" width="23.5703125" customWidth="1"/>
    <col min="2" max="5" width="14.42578125" style="25" customWidth="1"/>
  </cols>
  <sheetData>
    <row r="1" spans="1:6" x14ac:dyDescent="0.25">
      <c r="A1" s="24" t="s">
        <v>27</v>
      </c>
    </row>
    <row r="2" spans="1:6" x14ac:dyDescent="0.25">
      <c r="A2" t="s">
        <v>28</v>
      </c>
    </row>
    <row r="4" spans="1:6" ht="30" x14ac:dyDescent="0.25">
      <c r="A4" s="29" t="s">
        <v>158</v>
      </c>
      <c r="B4" s="43" t="s">
        <v>249</v>
      </c>
      <c r="C4" s="43" t="s">
        <v>250</v>
      </c>
      <c r="D4" s="43" t="s">
        <v>251</v>
      </c>
      <c r="E4" s="43" t="s">
        <v>252</v>
      </c>
      <c r="F4" s="31"/>
    </row>
    <row r="5" spans="1:6" x14ac:dyDescent="0.25">
      <c r="A5" s="30">
        <v>2019</v>
      </c>
      <c r="B5" s="44">
        <v>13.01</v>
      </c>
      <c r="C5" s="44">
        <v>10.68</v>
      </c>
      <c r="D5" s="25">
        <v>6.81</v>
      </c>
      <c r="E5" s="25">
        <v>10.54</v>
      </c>
    </row>
    <row r="6" spans="1:6" x14ac:dyDescent="0.25">
      <c r="A6" s="30">
        <v>2020</v>
      </c>
      <c r="B6" s="44">
        <v>13.15</v>
      </c>
      <c r="C6" s="44">
        <v>10.59</v>
      </c>
      <c r="D6" s="25">
        <v>6.67</v>
      </c>
      <c r="E6" s="25">
        <v>10.59</v>
      </c>
    </row>
    <row r="7" spans="1:6" x14ac:dyDescent="0.25">
      <c r="A7" s="30">
        <v>2021</v>
      </c>
      <c r="B7" s="44">
        <v>13.66</v>
      </c>
      <c r="C7" s="44">
        <v>11.22</v>
      </c>
      <c r="D7" s="25">
        <v>7.18</v>
      </c>
      <c r="E7" s="44">
        <v>11.1</v>
      </c>
    </row>
    <row r="8" spans="1:6" x14ac:dyDescent="0.25">
      <c r="A8" s="30">
        <v>2022</v>
      </c>
      <c r="B8" s="44">
        <v>15.04</v>
      </c>
      <c r="C8" s="44">
        <v>12.41</v>
      </c>
      <c r="D8" s="25">
        <v>8.32</v>
      </c>
      <c r="E8" s="25">
        <v>12.36</v>
      </c>
    </row>
    <row r="9" spans="1:6" x14ac:dyDescent="0.25">
      <c r="A9" s="30">
        <v>2023</v>
      </c>
      <c r="B9" s="44">
        <v>16</v>
      </c>
      <c r="C9" s="44">
        <v>12.59</v>
      </c>
      <c r="D9" s="25">
        <v>8.0399999999999991</v>
      </c>
      <c r="E9" s="25">
        <v>12.68</v>
      </c>
    </row>
    <row r="10" spans="1:6" x14ac:dyDescent="0.25">
      <c r="A10" s="30">
        <v>2024</v>
      </c>
      <c r="B10" s="44">
        <v>16.48</v>
      </c>
      <c r="C10" s="44">
        <v>12.75</v>
      </c>
      <c r="D10" s="25">
        <v>8.1300000000000008</v>
      </c>
      <c r="E10" s="25">
        <v>12.94</v>
      </c>
    </row>
    <row r="11" spans="1:6" x14ac:dyDescent="0.25">
      <c r="A11" s="30">
        <v>2025</v>
      </c>
      <c r="B11" s="44">
        <v>17.3</v>
      </c>
      <c r="C11" s="44">
        <v>13.41</v>
      </c>
      <c r="D11" s="111">
        <v>8.6199999999999992</v>
      </c>
      <c r="E11" s="111">
        <v>13.63</v>
      </c>
      <c r="F11" s="47"/>
    </row>
    <row r="12" spans="1:6" x14ac:dyDescent="0.25">
      <c r="A12" s="30"/>
      <c r="B12" s="44"/>
      <c r="D12" s="49"/>
      <c r="E12" s="50"/>
      <c r="F12" s="51"/>
    </row>
    <row r="13" spans="1:6" x14ac:dyDescent="0.25">
      <c r="A13" s="30"/>
      <c r="B13" s="43" t="s">
        <v>253</v>
      </c>
      <c r="C13" s="43" t="s">
        <v>254</v>
      </c>
      <c r="D13" s="43" t="s">
        <v>255</v>
      </c>
      <c r="E13" s="43" t="s">
        <v>256</v>
      </c>
      <c r="F13" s="51"/>
    </row>
    <row r="14" spans="1:6" x14ac:dyDescent="0.25">
      <c r="A14" s="25" t="s">
        <v>257</v>
      </c>
      <c r="B14" s="44">
        <f>B5</f>
        <v>13.01</v>
      </c>
      <c r="C14" s="44">
        <f t="shared" ref="C14:E14" si="0">C5</f>
        <v>10.68</v>
      </c>
      <c r="D14" s="44">
        <f t="shared" si="0"/>
        <v>6.81</v>
      </c>
      <c r="E14" s="44">
        <f t="shared" si="0"/>
        <v>10.54</v>
      </c>
      <c r="F14" s="51"/>
    </row>
    <row r="15" spans="1:6" x14ac:dyDescent="0.25">
      <c r="A15" s="25" t="s">
        <v>258</v>
      </c>
      <c r="B15" s="44">
        <f>B10-B5</f>
        <v>3.4700000000000006</v>
      </c>
      <c r="C15" s="44">
        <f t="shared" ref="C15:E15" si="1">C10-C5</f>
        <v>2.0700000000000003</v>
      </c>
      <c r="D15" s="44">
        <f t="shared" si="1"/>
        <v>1.3200000000000012</v>
      </c>
      <c r="E15" s="44">
        <f t="shared" si="1"/>
        <v>2.4000000000000004</v>
      </c>
      <c r="F15" s="51"/>
    </row>
    <row r="16" spans="1:6" x14ac:dyDescent="0.25">
      <c r="A16" s="25" t="s">
        <v>259</v>
      </c>
      <c r="B16" s="44">
        <f>B11-B10</f>
        <v>0.82000000000000028</v>
      </c>
      <c r="C16" s="44">
        <f t="shared" ref="C16:E16" si="2">C11-C10</f>
        <v>0.66000000000000014</v>
      </c>
      <c r="D16" s="44">
        <f t="shared" si="2"/>
        <v>0.48999999999999844</v>
      </c>
      <c r="E16" s="44">
        <f t="shared" si="2"/>
        <v>0.69000000000000128</v>
      </c>
      <c r="F16" s="51"/>
    </row>
    <row r="17" spans="1:6" x14ac:dyDescent="0.25">
      <c r="A17" s="30"/>
      <c r="B17" s="44"/>
      <c r="D17" s="49"/>
      <c r="E17" s="50"/>
      <c r="F17" s="51"/>
    </row>
    <row r="18" spans="1:6" x14ac:dyDescent="0.25">
      <c r="A18" s="25" t="s">
        <v>260</v>
      </c>
      <c r="B18" s="52">
        <f>(B11-B5)/B5</f>
        <v>0.32974634896233673</v>
      </c>
      <c r="C18" s="52">
        <f t="shared" ref="C18:E18" si="3">(C11-C5)/C5</f>
        <v>0.25561797752808996</v>
      </c>
      <c r="D18" s="52">
        <f>(D11-D5)/D5</f>
        <v>0.26578560939794416</v>
      </c>
      <c r="E18" s="52">
        <f t="shared" si="3"/>
        <v>0.29316888045540812</v>
      </c>
      <c r="F18" s="51"/>
    </row>
    <row r="19" spans="1:6" x14ac:dyDescent="0.25">
      <c r="A19" s="25" t="s">
        <v>261</v>
      </c>
      <c r="B19" s="52">
        <f>(B11-B10)/B10</f>
        <v>4.9757281553398071E-2</v>
      </c>
      <c r="C19" s="52">
        <f>(C11-C10)/C10</f>
        <v>5.1764705882352956E-2</v>
      </c>
      <c r="D19" s="52">
        <f t="shared" ref="D19:E19" si="4">(D11-D10)/D10</f>
        <v>6.0270602706026861E-2</v>
      </c>
      <c r="E19" s="52">
        <f t="shared" si="4"/>
        <v>5.3323029366306125E-2</v>
      </c>
    </row>
    <row r="20" spans="1:6" x14ac:dyDescent="0.25">
      <c r="A20" s="25"/>
      <c r="B20" s="52"/>
      <c r="C20" s="52"/>
      <c r="D20" s="52"/>
      <c r="E20" s="52"/>
    </row>
    <row r="22" spans="1:6" x14ac:dyDescent="0.25">
      <c r="A22" t="s">
        <v>197</v>
      </c>
      <c r="B22" s="28" t="s">
        <v>262</v>
      </c>
    </row>
    <row r="23" spans="1:6" x14ac:dyDescent="0.25">
      <c r="B23" s="28" t="s">
        <v>247</v>
      </c>
    </row>
    <row r="24" spans="1:6" x14ac:dyDescent="0.25">
      <c r="B24" s="28"/>
    </row>
    <row r="25" spans="1:6" x14ac:dyDescent="0.25">
      <c r="A25" t="s">
        <v>205</v>
      </c>
      <c r="B25" s="28" t="s">
        <v>248</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6FEB5-9FDC-4D84-A325-06D132EFD9B6}">
  <sheetPr>
    <tabColor theme="8" tint="0.79998168889431442"/>
  </sheetPr>
  <dimension ref="A1:H62"/>
  <sheetViews>
    <sheetView workbookViewId="0"/>
  </sheetViews>
  <sheetFormatPr defaultRowHeight="15" x14ac:dyDescent="0.25"/>
  <cols>
    <col min="1" max="1" width="20.5703125" style="25" customWidth="1"/>
    <col min="2" max="3" width="27.5703125" style="25" customWidth="1"/>
    <col min="4" max="4" width="19" style="25" customWidth="1"/>
    <col min="5" max="5" width="13.140625" style="25" customWidth="1"/>
    <col min="6" max="6" width="42.140625" style="25" customWidth="1"/>
    <col min="7" max="7" width="25.42578125" customWidth="1"/>
    <col min="8" max="8" width="11.5703125" customWidth="1"/>
  </cols>
  <sheetData>
    <row r="1" spans="1:8" x14ac:dyDescent="0.25">
      <c r="A1" s="59" t="s">
        <v>122</v>
      </c>
    </row>
    <row r="2" spans="1:8" x14ac:dyDescent="0.25">
      <c r="A2" s="28" t="s">
        <v>123</v>
      </c>
    </row>
    <row r="4" spans="1:8" ht="33.75" customHeight="1" x14ac:dyDescent="0.25">
      <c r="A4" s="116" t="s">
        <v>614</v>
      </c>
      <c r="B4" s="43" t="s">
        <v>838</v>
      </c>
      <c r="C4" s="43" t="s">
        <v>839</v>
      </c>
      <c r="D4" s="43" t="s">
        <v>840</v>
      </c>
      <c r="E4" s="43" t="s">
        <v>758</v>
      </c>
      <c r="F4" s="188" t="s">
        <v>841</v>
      </c>
    </row>
    <row r="5" spans="1:8" x14ac:dyDescent="0.25">
      <c r="A5" s="25" t="s">
        <v>240</v>
      </c>
      <c r="B5" s="44">
        <f>_xlfn.XLOOKUP(A5,'Change in state retail prices'!A:A,'Change in state retail prices'!K:K,"Not found")</f>
        <v>-2.5176234510819278</v>
      </c>
      <c r="C5" s="44">
        <f>_xlfn.XLOOKUP(A5,'Change in residential prices'!A:A,'Change in residential prices'!K:K,"Not found")</f>
        <v>-2.8916977991492523</v>
      </c>
      <c r="D5" s="52">
        <f>_xlfn.XLOOKUP(A5,'State growth in retail sales'!A:A,'State growth in retail sales'!K:K,"Not found")</f>
        <v>5.1383399209486168E-2</v>
      </c>
      <c r="E5" s="84">
        <f>_xlfn.XLOOKUP(A5,'State growth in retail sales'!A:A,'State growth in retail sales'!H:H,"Not found")/1000</f>
        <v>6.1180000000000003</v>
      </c>
      <c r="F5" s="84" t="s">
        <v>842</v>
      </c>
      <c r="H5" s="72"/>
    </row>
    <row r="6" spans="1:8" x14ac:dyDescent="0.25">
      <c r="A6" s="25" t="s">
        <v>231</v>
      </c>
      <c r="B6" s="44">
        <f>_xlfn.XLOOKUP(A6,'Change in state retail prices'!A:A,'Change in state retail prices'!K:K,"Not found")</f>
        <v>-0.79206399112261572</v>
      </c>
      <c r="C6" s="44">
        <f>_xlfn.XLOOKUP(A6,'Change in residential prices'!A:A,'Change in residential prices'!K:K,"Not found")</f>
        <v>-2.0236637691880901</v>
      </c>
      <c r="D6" s="52">
        <f>_xlfn.XLOOKUP(A6,'State growth in retail sales'!A:A,'State growth in retail sales'!K:K,"Not found")</f>
        <v>7.7443080417500407E-2</v>
      </c>
      <c r="E6" s="84">
        <f>_xlfn.XLOOKUP(A6,'State growth in retail sales'!A:A,'State growth in retail sales'!H:H,"Not found")/1000</f>
        <v>39.845999999999997</v>
      </c>
      <c r="F6" s="84" t="s">
        <v>843</v>
      </c>
    </row>
    <row r="7" spans="1:8" x14ac:dyDescent="0.25">
      <c r="A7" s="25" t="s">
        <v>191</v>
      </c>
      <c r="B7" s="44">
        <f>_xlfn.XLOOKUP(A7,'Change in state retail prices'!A:A,'Change in state retail prices'!K:K,"Not found")</f>
        <v>-1.6363210752977579</v>
      </c>
      <c r="C7" s="44">
        <f>_xlfn.XLOOKUP(A7,'Change in residential prices'!A:A,'Change in residential prices'!K:K,"Not found")</f>
        <v>-1.9185639425341492</v>
      </c>
      <c r="D7" s="52">
        <f>_xlfn.XLOOKUP(A7,'State growth in retail sales'!A:A,'State growth in retail sales'!K:K,"Not found")</f>
        <v>0.14742472033383619</v>
      </c>
      <c r="E7" s="84">
        <f>_xlfn.XLOOKUP(A7,'State growth in retail sales'!A:A,'State growth in retail sales'!H:H,"Not found")/1000</f>
        <v>58.567999999999998</v>
      </c>
      <c r="F7" s="84" t="s">
        <v>843</v>
      </c>
    </row>
    <row r="8" spans="1:8" x14ac:dyDescent="0.25">
      <c r="A8" s="25" t="s">
        <v>213</v>
      </c>
      <c r="B8" s="44">
        <f>_xlfn.XLOOKUP(A8,'Change in state retail prices'!A:A,'Change in state retail prices'!K:K,"Not found")</f>
        <v>-1.2444955231153454</v>
      </c>
      <c r="C8" s="44">
        <f>_xlfn.XLOOKUP(A8,'Change in residential prices'!A:A,'Change in residential prices'!K:K,"Not found")</f>
        <v>-1.4972352140986338</v>
      </c>
      <c r="D8" s="52">
        <f>_xlfn.XLOOKUP(A8,'State growth in retail sales'!A:A,'State growth in retail sales'!K:K,"Not found")</f>
        <v>6.7488716554871209E-2</v>
      </c>
      <c r="E8" s="84">
        <f>_xlfn.XLOOKUP(A8,'State growth in retail sales'!A:A,'State growth in retail sales'!H:H,"Not found")/1000</f>
        <v>85.619</v>
      </c>
      <c r="F8" s="84" t="s">
        <v>842</v>
      </c>
    </row>
    <row r="9" spans="1:8" x14ac:dyDescent="0.25">
      <c r="A9" s="25" t="s">
        <v>193</v>
      </c>
      <c r="B9" s="44">
        <f>_xlfn.XLOOKUP(A9,'Change in state retail prices'!A:A,'Change in state retail prices'!K:K,"Not found")</f>
        <v>-1.3573407745104635</v>
      </c>
      <c r="C9" s="44">
        <f>_xlfn.XLOOKUP(A9,'Change in residential prices'!A:A,'Change in residential prices'!K:K,"Not found")</f>
        <v>-1.3923393025368416</v>
      </c>
      <c r="D9" s="52">
        <f>_xlfn.XLOOKUP(A9,'State growth in retail sales'!A:A,'State growth in retail sales'!K:K,"Not found")</f>
        <v>1.9703595724003889E-2</v>
      </c>
      <c r="E9" s="84">
        <f>_xlfn.XLOOKUP(A9,'State growth in retail sales'!A:A,'State growth in retail sales'!H:H,"Not found")/1000</f>
        <v>41.970999999999997</v>
      </c>
      <c r="F9" s="84" t="s">
        <v>842</v>
      </c>
    </row>
    <row r="10" spans="1:8" x14ac:dyDescent="0.25">
      <c r="A10" s="25" t="s">
        <v>199</v>
      </c>
      <c r="B10" s="44">
        <f>_xlfn.XLOOKUP(A10,'Change in state retail prices'!A:A,'Change in state retail prices'!K:K,"Not found")</f>
        <v>-1.846321075297757</v>
      </c>
      <c r="C10" s="44">
        <f>_xlfn.XLOOKUP(A10,'Change in residential prices'!A:A,'Change in residential prices'!K:K,"Not found")</f>
        <v>-1.1774425089159521</v>
      </c>
      <c r="D10" s="52">
        <f>_xlfn.XLOOKUP(A10,'State growth in retail sales'!A:A,'State growth in retail sales'!K:K,"Not found")</f>
        <v>0.23832406279827534</v>
      </c>
      <c r="E10" s="84">
        <f>_xlfn.XLOOKUP(A10,'State growth in retail sales'!A:A,'State growth in retail sales'!H:H,"Not found")/1000</f>
        <v>37.624000000000002</v>
      </c>
      <c r="F10" s="84" t="s">
        <v>843</v>
      </c>
    </row>
    <row r="11" spans="1:8" x14ac:dyDescent="0.25">
      <c r="A11" s="25" t="s">
        <v>230</v>
      </c>
      <c r="B11" s="44">
        <f>_xlfn.XLOOKUP(A11,'Change in state retail prices'!A:A,'Change in state retail prices'!K:K,"Not found")</f>
        <v>-0.50553726650637998</v>
      </c>
      <c r="C11" s="44">
        <f>_xlfn.XLOOKUP(A11,'Change in residential prices'!A:A,'Change in residential prices'!K:K,"Not found")</f>
        <v>-1.0935731459219529</v>
      </c>
      <c r="D11" s="52">
        <f>_xlfn.XLOOKUP(A11,'State growth in retail sales'!A:A,'State growth in retail sales'!K:K,"Not found")</f>
        <v>3.2634945499641016E-3</v>
      </c>
      <c r="E11" s="84">
        <f>_xlfn.XLOOKUP(A11,'State growth in retail sales'!A:A,'State growth in retail sales'!H:H,"Not found")/1000</f>
        <v>15.371</v>
      </c>
      <c r="F11" s="84" t="s">
        <v>844</v>
      </c>
    </row>
    <row r="12" spans="1:8" x14ac:dyDescent="0.25">
      <c r="A12" s="25" t="s">
        <v>201</v>
      </c>
      <c r="B12" s="44">
        <f>_xlfn.XLOOKUP(A12,'Change in state retail prices'!A:A,'Change in state retail prices'!K:K,"Not found")</f>
        <v>-2.9076477440952821</v>
      </c>
      <c r="C12" s="44">
        <f>_xlfn.XLOOKUP(A12,'Change in residential prices'!A:A,'Change in residential prices'!K:K,"Not found")</f>
        <v>-1.1175448321108927</v>
      </c>
      <c r="D12" s="52">
        <f>_xlfn.XLOOKUP(A12,'State growth in retail sales'!A:A,'State growth in retail sales'!K:K,"Not found")</f>
        <v>0.40725451087712788</v>
      </c>
      <c r="E12" s="84">
        <f>_xlfn.XLOOKUP(A12,'State growth in retail sales'!A:A,'State growth in retail sales'!H:H,"Not found")/1000</f>
        <v>30.338999999999999</v>
      </c>
      <c r="F12" s="84" t="s">
        <v>845</v>
      </c>
    </row>
    <row r="13" spans="1:8" x14ac:dyDescent="0.25">
      <c r="A13" s="25" t="s">
        <v>203</v>
      </c>
      <c r="B13" s="44">
        <f>_xlfn.XLOOKUP(A13,'Change in state retail prices'!A:A,'Change in state retail prices'!K:K,"Not found")</f>
        <v>-1.1508103425072349</v>
      </c>
      <c r="C13" s="44">
        <f>_xlfn.XLOOKUP(A13,'Change in residential prices'!A:A,'Change in residential prices'!K:K,"Not found")</f>
        <v>-1.1164216321243519</v>
      </c>
      <c r="D13" s="52">
        <f>_xlfn.XLOOKUP(A13,'State growth in retail sales'!A:A,'State growth in retail sales'!K:K,"Not found")</f>
        <v>7.3354573004895479E-2</v>
      </c>
      <c r="E13" s="84">
        <f>_xlfn.XLOOKUP(A13,'State growth in retail sales'!A:A,'State growth in retail sales'!H:H,"Not found")/1000</f>
        <v>13.813000000000001</v>
      </c>
      <c r="F13" s="84" t="s">
        <v>842</v>
      </c>
    </row>
    <row r="14" spans="1:8" x14ac:dyDescent="0.25">
      <c r="A14" s="25" t="s">
        <v>234</v>
      </c>
      <c r="B14" s="44">
        <f>_xlfn.XLOOKUP(A14,'Change in state retail prices'!A:A,'Change in state retail prices'!K:K,"Not found")</f>
        <v>-0.49222304420196039</v>
      </c>
      <c r="C14" s="44">
        <f>_xlfn.XLOOKUP(A14,'Change in residential prices'!A:A,'Change in residential prices'!K:K,"Not found")</f>
        <v>-0.7567967449602353</v>
      </c>
      <c r="D14" s="52">
        <f>_xlfn.XLOOKUP(A14,'State growth in retail sales'!A:A,'State growth in retail sales'!K:K,"Not found")</f>
        <v>3.4182425580146752E-2</v>
      </c>
      <c r="E14" s="84">
        <f>_xlfn.XLOOKUP(A14,'State growth in retail sales'!A:A,'State growth in retail sales'!H:H,"Not found")/1000</f>
        <v>17.335999999999999</v>
      </c>
      <c r="F14" s="84" t="s">
        <v>844</v>
      </c>
    </row>
    <row r="15" spans="1:8" x14ac:dyDescent="0.25">
      <c r="A15" s="25" t="s">
        <v>229</v>
      </c>
      <c r="B15" s="44">
        <f>_xlfn.XLOOKUP(A15,'Change in state retail prices'!A:A,'Change in state retail prices'!K:K,"Not found")</f>
        <v>-0.23668392824116857</v>
      </c>
      <c r="C15" s="44">
        <f>_xlfn.XLOOKUP(A15,'Change in residential prices'!A:A,'Change in residential prices'!K:K,"Not found")</f>
        <v>-0.68562788977251721</v>
      </c>
      <c r="D15" s="52">
        <f>_xlfn.XLOOKUP(A15,'State growth in retail sales'!A:A,'State growth in retail sales'!K:K,"Not found")</f>
        <v>0.11736501980404419</v>
      </c>
      <c r="E15" s="84">
        <f>_xlfn.XLOOKUP(A15,'State growth in retail sales'!A:A,'State growth in retail sales'!H:H,"Not found")/1000</f>
        <v>26.8</v>
      </c>
      <c r="F15" s="84" t="s">
        <v>844</v>
      </c>
    </row>
    <row r="16" spans="1:8" x14ac:dyDescent="0.25">
      <c r="A16" s="25" t="s">
        <v>232</v>
      </c>
      <c r="B16" s="44">
        <f>_xlfn.XLOOKUP(A16,'Change in state retail prices'!A:A,'Change in state retail prices'!K:K,"Not found")</f>
        <v>-1.8076031070834109</v>
      </c>
      <c r="C16" s="44">
        <f>_xlfn.XLOOKUP(A16,'Change in residential prices'!A:A,'Change in residential prices'!K:K,"Not found")</f>
        <v>-0.73854447937858048</v>
      </c>
      <c r="D16" s="52">
        <f>_xlfn.XLOOKUP(A16,'State growth in retail sales'!A:A,'State growth in retail sales'!K:K,"Not found")</f>
        <v>0.26921221864951767</v>
      </c>
      <c r="E16" s="84">
        <f>_xlfn.XLOOKUP(A16,'State growth in retail sales'!A:A,'State growth in retail sales'!H:H,"Not found")/1000</f>
        <v>31.577999999999999</v>
      </c>
      <c r="F16" s="84" t="s">
        <v>843</v>
      </c>
    </row>
    <row r="17" spans="1:6" x14ac:dyDescent="0.25">
      <c r="A17" s="25" t="s">
        <v>171</v>
      </c>
      <c r="B17" s="44">
        <f>_xlfn.XLOOKUP(A17,'Change in state retail prices'!A:A,'Change in state retail prices'!K:K,"Not found")</f>
        <v>0.28759050008909171</v>
      </c>
      <c r="C17" s="44">
        <f>_xlfn.XLOOKUP(A17,'Change in residential prices'!A:A,'Change in residential prices'!K:K,"Not found")</f>
        <v>-0.34456620835065976</v>
      </c>
      <c r="D17" s="52">
        <f>_xlfn.XLOOKUP(A17,'State growth in retail sales'!A:A,'State growth in retail sales'!K:K,"Not found")</f>
        <v>3.6594473487677373E-2</v>
      </c>
      <c r="E17" s="84">
        <f>_xlfn.XLOOKUP(A17,'State growth in retail sales'!A:A,'State growth in retail sales'!H:H,"Not found")/1000</f>
        <v>11.103999999999999</v>
      </c>
      <c r="F17" s="84" t="s">
        <v>842</v>
      </c>
    </row>
    <row r="18" spans="1:6" x14ac:dyDescent="0.25">
      <c r="A18" s="25" t="s">
        <v>220</v>
      </c>
      <c r="B18" s="44">
        <f>_xlfn.XLOOKUP(A18,'Change in state retail prices'!A:A,'Change in state retail prices'!K:K,"Not found")</f>
        <v>-0.70641333522831218</v>
      </c>
      <c r="C18" s="44">
        <f>_xlfn.XLOOKUP(A18,'Change in residential prices'!A:A,'Change in residential prices'!K:K,"Not found")</f>
        <v>-0.59137388585466866</v>
      </c>
      <c r="D18" s="52">
        <f>_xlfn.XLOOKUP(A18,'State growth in retail sales'!A:A,'State growth in retail sales'!K:K,"Not found")</f>
        <v>6.7345160223983014E-2</v>
      </c>
      <c r="E18" s="84">
        <f>_xlfn.XLOOKUP(A18,'State growth in retail sales'!A:A,'State growth in retail sales'!H:H,"Not found")/1000</f>
        <v>106.55200000000001</v>
      </c>
      <c r="F18" s="84" t="s">
        <v>844</v>
      </c>
    </row>
    <row r="19" spans="1:6" x14ac:dyDescent="0.25">
      <c r="A19" s="25" t="s">
        <v>195</v>
      </c>
      <c r="B19" s="44">
        <f>_xlfn.XLOOKUP(A19,'Change in state retail prices'!A:A,'Change in state retail prices'!K:K,"Not found")</f>
        <v>-0.29519787531121722</v>
      </c>
      <c r="C19" s="44">
        <f>_xlfn.XLOOKUP(A19,'Change in residential prices'!A:A,'Change in residential prices'!K:K,"Not found")</f>
        <v>-0.54652277774039248</v>
      </c>
      <c r="D19" s="52">
        <f>_xlfn.XLOOKUP(A19,'State growth in retail sales'!A:A,'State growth in retail sales'!K:K,"Not found")</f>
        <v>-1.8337663889137771E-2</v>
      </c>
      <c r="E19" s="84">
        <f>_xlfn.XLOOKUP(A19,'State growth in retail sales'!A:A,'State growth in retail sales'!H:H,"Not found")/1000</f>
        <v>65.738</v>
      </c>
      <c r="F19" s="84" t="s">
        <v>842</v>
      </c>
    </row>
    <row r="20" spans="1:6" x14ac:dyDescent="0.25">
      <c r="A20" s="25" t="s">
        <v>212</v>
      </c>
      <c r="B20" s="44">
        <f>_xlfn.XLOOKUP(A20,'Change in state retail prices'!A:A,'Change in state retail prices'!K:K,"Not found")</f>
        <v>-0.44235356221956224</v>
      </c>
      <c r="C20" s="44">
        <f>_xlfn.XLOOKUP(A20,'Change in residential prices'!A:A,'Change in residential prices'!K:K,"Not found")</f>
        <v>-0.44817753233305702</v>
      </c>
      <c r="D20" s="52">
        <f>_xlfn.XLOOKUP(A20,'State growth in retail sales'!A:A,'State growth in retail sales'!K:K,"Not found")</f>
        <v>3.0402533055791728E-2</v>
      </c>
      <c r="E20" s="84">
        <f>_xlfn.XLOOKUP(A20,'State growth in retail sales'!A:A,'State growth in retail sales'!H:H,"Not found")/1000</f>
        <v>140.584</v>
      </c>
      <c r="F20" s="84" t="s">
        <v>842</v>
      </c>
    </row>
    <row r="21" spans="1:6" x14ac:dyDescent="0.25">
      <c r="A21" s="25" t="s">
        <v>196</v>
      </c>
      <c r="B21" s="44">
        <f>_xlfn.XLOOKUP(A21,'Change in state retail prices'!A:A,'Change in state retail prices'!K:K,"Not found")</f>
        <v>-0.57938193930421811</v>
      </c>
      <c r="C21" s="44">
        <f>_xlfn.XLOOKUP(A21,'Change in residential prices'!A:A,'Change in residential prices'!K:K,"Not found")</f>
        <v>-0.49183004171993616</v>
      </c>
      <c r="D21" s="52">
        <f>_xlfn.XLOOKUP(A21,'State growth in retail sales'!A:A,'State growth in retail sales'!K:K,"Not found")</f>
        <v>1.5927363108372009E-2</v>
      </c>
      <c r="E21" s="84">
        <f>_xlfn.XLOOKUP(A21,'State growth in retail sales'!A:A,'State growth in retail sales'!H:H,"Not found")/1000</f>
        <v>80.114000000000004</v>
      </c>
      <c r="F21" s="84" t="s">
        <v>842</v>
      </c>
    </row>
    <row r="22" spans="1:6" x14ac:dyDescent="0.25">
      <c r="A22" s="25" t="s">
        <v>227</v>
      </c>
      <c r="B22" s="44">
        <f>_xlfn.XLOOKUP(A22,'Change in state retail prices'!A:A,'Change in state retail prices'!K:K,"Not found")</f>
        <v>-0.33224523765488989</v>
      </c>
      <c r="C22" s="44">
        <f>_xlfn.XLOOKUP(A22,'Change in residential prices'!A:A,'Change in residential prices'!K:K,"Not found")</f>
        <v>-0.39738672091732674</v>
      </c>
      <c r="D22" s="52">
        <f>_xlfn.XLOOKUP(A22,'State growth in retail sales'!A:A,'State growth in retail sales'!K:K,"Not found")</f>
        <v>0.17481297078109562</v>
      </c>
      <c r="E22" s="84">
        <f>_xlfn.XLOOKUP(A22,'State growth in retail sales'!A:A,'State growth in retail sales'!H:H,"Not found")/1000</f>
        <v>91.552000000000007</v>
      </c>
      <c r="F22" s="84" t="s">
        <v>843</v>
      </c>
    </row>
    <row r="23" spans="1:6" x14ac:dyDescent="0.25">
      <c r="A23" s="25" t="s">
        <v>219</v>
      </c>
      <c r="B23" s="44">
        <f>_xlfn.XLOOKUP(A23,'Change in state retail prices'!A:A,'Change in state retail prices'!K:K,"Not found")</f>
        <v>-0.18697788967169515</v>
      </c>
      <c r="C23" s="44">
        <f>_xlfn.XLOOKUP(A23,'Change in residential prices'!A:A,'Change in residential prices'!K:K,"Not found")</f>
        <v>-0.24814017420258772</v>
      </c>
      <c r="D23" s="52">
        <f>_xlfn.XLOOKUP(A23,'State growth in retail sales'!A:A,'State growth in retail sales'!K:K,"Not found")</f>
        <v>1.3482870625727769E-2</v>
      </c>
      <c r="E23" s="84">
        <f>_xlfn.XLOOKUP(A23,'State growth in retail sales'!A:A,'State growth in retail sales'!H:H,"Not found")/1000</f>
        <v>49.610999999999997</v>
      </c>
      <c r="F23" s="84" t="s">
        <v>842</v>
      </c>
    </row>
    <row r="24" spans="1:6" x14ac:dyDescent="0.25">
      <c r="A24" s="25" t="s">
        <v>218</v>
      </c>
      <c r="B24" s="44">
        <f>_xlfn.XLOOKUP(A24,'Change in state retail prices'!A:A,'Change in state retail prices'!K:K,"Not found")</f>
        <v>-0.35814435668893374</v>
      </c>
      <c r="C24" s="44">
        <f>_xlfn.XLOOKUP(A24,'Change in residential prices'!A:A,'Change in residential prices'!K:K,"Not found")</f>
        <v>-0.44268978539378523</v>
      </c>
      <c r="D24" s="52">
        <f>_xlfn.XLOOKUP(A24,'State growth in retail sales'!A:A,'State growth in retail sales'!K:K,"Not found")</f>
        <v>7.6182892029995359E-3</v>
      </c>
      <c r="E24" s="84">
        <f>_xlfn.XLOOKUP(A24,'State growth in retail sales'!A:A,'State growth in retail sales'!H:H,"Not found")/1000</f>
        <v>75.918999999999997</v>
      </c>
      <c r="F24" s="84" t="s">
        <v>844</v>
      </c>
    </row>
    <row r="25" spans="1:6" x14ac:dyDescent="0.25">
      <c r="A25" s="25" t="s">
        <v>233</v>
      </c>
      <c r="B25" s="44">
        <f>_xlfn.XLOOKUP(A25,'Change in state retail prices'!A:A,'Change in state retail prices'!K:K,"Not found")</f>
        <v>0.25075087849084632</v>
      </c>
      <c r="C25" s="44">
        <f>_xlfn.XLOOKUP(A25,'Change in residential prices'!A:A,'Change in residential prices'!K:K,"Not found")</f>
        <v>-8.0508599963010852E-2</v>
      </c>
      <c r="D25" s="52">
        <f>_xlfn.XLOOKUP(A25,'State growth in retail sales'!A:A,'State growth in retail sales'!K:K,"Not found")</f>
        <v>0.12622419163214849</v>
      </c>
      <c r="E25" s="84">
        <f>_xlfn.XLOOKUP(A25,'State growth in retail sales'!A:A,'State growth in retail sales'!H:H,"Not found")/1000</f>
        <v>35.073999999999998</v>
      </c>
      <c r="F25" s="84" t="s">
        <v>844</v>
      </c>
    </row>
    <row r="26" spans="1:6" x14ac:dyDescent="0.25">
      <c r="A26" s="25" t="s">
        <v>241</v>
      </c>
      <c r="B26" s="44">
        <f>_xlfn.XLOOKUP(A26,'Change in state retail prices'!A:A,'Change in state retail prices'!K:K,"Not found")</f>
        <v>-0.59563528759016293</v>
      </c>
      <c r="C26" s="44">
        <f>_xlfn.XLOOKUP(A26,'Change in residential prices'!A:A,'Change in residential prices'!K:K,"Not found")</f>
        <v>5.1028296652489757E-2</v>
      </c>
      <c r="D26" s="52">
        <f>_xlfn.XLOOKUP(A26,'State growth in retail sales'!A:A,'State growth in retail sales'!K:K,"Not found")</f>
        <v>-3.342854120385063E-2</v>
      </c>
      <c r="E26" s="84">
        <f>_xlfn.XLOOKUP(A26,'State growth in retail sales'!A:A,'State growth in retail sales'!H:H,"Not found")/1000</f>
        <v>9.1370000000000005</v>
      </c>
      <c r="F26" s="84" t="s">
        <v>842</v>
      </c>
    </row>
    <row r="27" spans="1:6" x14ac:dyDescent="0.25">
      <c r="A27" s="25" t="s">
        <v>210</v>
      </c>
      <c r="B27" s="44">
        <f>_xlfn.XLOOKUP(A27,'Change in state retail prices'!A:A,'Change in state retail prices'!K:K,"Not found")</f>
        <v>-0.46178900777617748</v>
      </c>
      <c r="C27" s="44">
        <f>_xlfn.XLOOKUP(A27,'Change in residential prices'!A:A,'Change in residential prices'!K:K,"Not found")</f>
        <v>-0.16892887742878848</v>
      </c>
      <c r="D27" s="52">
        <f>_xlfn.XLOOKUP(A27,'State growth in retail sales'!A:A,'State growth in retail sales'!K:K,"Not found")</f>
        <v>0.10240414641675222</v>
      </c>
      <c r="E27" s="84">
        <f>_xlfn.XLOOKUP(A27,'State growth in retail sales'!A:A,'State growth in retail sales'!H:H,"Not found")/1000</f>
        <v>153.566</v>
      </c>
      <c r="F27" s="84" t="s">
        <v>844</v>
      </c>
    </row>
    <row r="28" spans="1:6" x14ac:dyDescent="0.25">
      <c r="A28" s="25" t="s">
        <v>223</v>
      </c>
      <c r="B28" s="44">
        <f>_xlfn.XLOOKUP(A28,'Change in state retail prices'!A:A,'Change in state retail prices'!K:K,"Not found")</f>
        <v>-0.26792020790611737</v>
      </c>
      <c r="C28" s="44">
        <f>_xlfn.XLOOKUP(A28,'Change in residential prices'!A:A,'Change in residential prices'!K:K,"Not found")</f>
        <v>0.15422593547600982</v>
      </c>
      <c r="D28" s="52">
        <f>_xlfn.XLOOKUP(A28,'State growth in retail sales'!A:A,'State growth in retail sales'!K:K,"Not found")</f>
        <v>5.3109128198520331E-2</v>
      </c>
      <c r="E28" s="84">
        <f>_xlfn.XLOOKUP(A28,'State growth in retail sales'!A:A,'State growth in retail sales'!H:H,"Not found")/1000</f>
        <v>98.075000000000003</v>
      </c>
      <c r="F28" s="84" t="s">
        <v>842</v>
      </c>
    </row>
    <row r="29" spans="1:6" x14ac:dyDescent="0.25">
      <c r="A29" s="25" t="s">
        <v>214</v>
      </c>
      <c r="B29" s="44">
        <f>_xlfn.XLOOKUP(A29,'Change in state retail prices'!A:A,'Change in state retail prices'!K:K,"Not found")</f>
        <v>-0.65103766268044616</v>
      </c>
      <c r="C29" s="44">
        <f>_xlfn.XLOOKUP(A29,'Change in residential prices'!A:A,'Change in residential prices'!K:K,"Not found")</f>
        <v>-1.1672750898425122E-2</v>
      </c>
      <c r="D29" s="52">
        <f>_xlfn.XLOOKUP(A29,'State growth in retail sales'!A:A,'State growth in retail sales'!K:K,"Not found")</f>
        <v>0.22154768438383923</v>
      </c>
      <c r="E29" s="84">
        <f>_xlfn.XLOOKUP(A29,'State growth in retail sales'!A:A,'State growth in retail sales'!H:H,"Not found")/1000</f>
        <v>144.67400000000001</v>
      </c>
      <c r="F29" s="84" t="s">
        <v>845</v>
      </c>
    </row>
    <row r="30" spans="1:6" ht="18" customHeight="1" x14ac:dyDescent="0.25">
      <c r="A30" s="25" t="s">
        <v>217</v>
      </c>
      <c r="B30" s="44">
        <f>_xlfn.XLOOKUP(A30,'Change in state retail prices'!A:A,'Change in state retail prices'!K:K,"Not found")</f>
        <v>0.16621846384991557</v>
      </c>
      <c r="C30" s="44">
        <f>_xlfn.XLOOKUP(A30,'Change in residential prices'!A:A,'Change in residential prices'!K:K,"Not found")</f>
        <v>0.22554601750147363</v>
      </c>
      <c r="D30" s="52">
        <f>_xlfn.XLOOKUP(A30,'State growth in retail sales'!A:A,'State growth in retail sales'!K:K,"Not found")</f>
        <v>1.2781656166638289E-2</v>
      </c>
      <c r="E30" s="84">
        <f>_xlfn.XLOOKUP(A30,'State growth in retail sales'!A:A,'State growth in retail sales'!H:H,"Not found")/1000</f>
        <v>89.221000000000004</v>
      </c>
      <c r="F30" s="84" t="s">
        <v>842</v>
      </c>
    </row>
    <row r="31" spans="1:6" x14ac:dyDescent="0.25">
      <c r="A31" s="25" t="s">
        <v>224</v>
      </c>
      <c r="B31" s="44">
        <f>_xlfn.XLOOKUP(A31,'Change in state retail prices'!A:A,'Change in state retail prices'!K:K,"Not found")</f>
        <v>-0.45795756603658688</v>
      </c>
      <c r="C31" s="44">
        <f>_xlfn.XLOOKUP(A31,'Change in residential prices'!A:A,'Change in residential prices'!K:K,"Not found")</f>
        <v>0.18479048991939351</v>
      </c>
      <c r="D31" s="52">
        <f>_xlfn.XLOOKUP(A31,'State growth in retail sales'!A:A,'State growth in retail sales'!K:K,"Not found")</f>
        <v>0.15925365763318725</v>
      </c>
      <c r="E31" s="84">
        <f>_xlfn.XLOOKUP(A31,'State growth in retail sales'!A:A,'State growth in retail sales'!H:H,"Not found")/1000</f>
        <v>75.114999999999995</v>
      </c>
      <c r="F31" s="84" t="s">
        <v>844</v>
      </c>
    </row>
    <row r="32" spans="1:6" x14ac:dyDescent="0.25">
      <c r="A32" s="25" t="s">
        <v>181</v>
      </c>
      <c r="B32" s="44">
        <f>_xlfn.XLOOKUP(A32,'Change in state retail prices'!A:A,'Change in state retail prices'!K:K,"Not found")</f>
        <v>0.22102735347554159</v>
      </c>
      <c r="C32" s="44">
        <f>_xlfn.XLOOKUP(A32,'Change in residential prices'!A:A,'Change in residential prices'!K:K,"Not found")</f>
        <v>0.25470333423053759</v>
      </c>
      <c r="D32" s="52">
        <f>_xlfn.XLOOKUP(A32,'State growth in retail sales'!A:A,'State growth in retail sales'!K:K,"Not found")</f>
        <v>-1.117048069610564E-2</v>
      </c>
      <c r="E32" s="84">
        <f>_xlfn.XLOOKUP(A32,'State growth in retail sales'!A:A,'State growth in retail sales'!H:H,"Not found")/1000</f>
        <v>100.11799999999999</v>
      </c>
      <c r="F32" s="84" t="s">
        <v>842</v>
      </c>
    </row>
    <row r="33" spans="1:6" x14ac:dyDescent="0.25">
      <c r="A33" s="25" t="s">
        <v>185</v>
      </c>
      <c r="B33" s="44">
        <f>_xlfn.XLOOKUP(A33,'Change in state retail prices'!A:A,'Change in state retail prices'!K:K,"Not found")</f>
        <v>-2.9381350514769977E-2</v>
      </c>
      <c r="C33" s="44">
        <f>_xlfn.XLOOKUP(A33,'Change in residential prices'!A:A,'Change in residential prices'!K:K,"Not found")</f>
        <v>0.36266158064733389</v>
      </c>
      <c r="D33" s="52">
        <f>_xlfn.XLOOKUP(A33,'State growth in retail sales'!A:A,'State growth in retail sales'!K:K,"Not found")</f>
        <v>1.4777755284999566E-2</v>
      </c>
      <c r="E33" s="84">
        <f>_xlfn.XLOOKUP(A33,'State growth in retail sales'!A:A,'State growth in retail sales'!H:H,"Not found")/1000</f>
        <v>70.180000000000007</v>
      </c>
      <c r="F33" s="84" t="s">
        <v>842</v>
      </c>
    </row>
    <row r="34" spans="1:6" x14ac:dyDescent="0.25">
      <c r="A34" s="25" t="s">
        <v>222</v>
      </c>
      <c r="B34" s="44">
        <f>_xlfn.XLOOKUP(A34,'Change in state retail prices'!A:A,'Change in state retail prices'!K:K,"Not found")</f>
        <v>-0.57404722554971421</v>
      </c>
      <c r="C34" s="44">
        <f>_xlfn.XLOOKUP(A34,'Change in residential prices'!A:A,'Change in residential prices'!K:K,"Not found")</f>
        <v>0.4242259354760094</v>
      </c>
      <c r="D34" s="52">
        <f>_xlfn.XLOOKUP(A34,'State growth in retail sales'!A:A,'State growth in retail sales'!K:K,"Not found")</f>
        <v>0.1012621379410725</v>
      </c>
      <c r="E34" s="84">
        <f>_xlfn.XLOOKUP(A34,'State growth in retail sales'!A:A,'State growth in retail sales'!H:H,"Not found")/1000</f>
        <v>52.963000000000001</v>
      </c>
      <c r="F34" s="84" t="s">
        <v>842</v>
      </c>
    </row>
    <row r="35" spans="1:6" x14ac:dyDescent="0.25">
      <c r="A35" s="25" t="s">
        <v>209</v>
      </c>
      <c r="B35" s="44">
        <f>_xlfn.XLOOKUP(A35,'Change in state retail prices'!A:A,'Change in state retail prices'!K:K,"Not found")</f>
        <v>0.1133998741193416</v>
      </c>
      <c r="C35" s="44">
        <f>_xlfn.XLOOKUP(A35,'Change in residential prices'!A:A,'Change in residential prices'!K:K,"Not found")</f>
        <v>0.41708606582340124</v>
      </c>
      <c r="D35" s="52">
        <f>_xlfn.XLOOKUP(A35,'State growth in retail sales'!A:A,'State growth in retail sales'!K:K,"Not found")</f>
        <v>7.2981676568974987E-2</v>
      </c>
      <c r="E35" s="84">
        <f>_xlfn.XLOOKUP(A35,'State growth in retail sales'!A:A,'State growth in retail sales'!H:H,"Not found")/1000</f>
        <v>257.88900000000001</v>
      </c>
      <c r="F35" s="84" t="s">
        <v>842</v>
      </c>
    </row>
    <row r="36" spans="1:6" x14ac:dyDescent="0.25">
      <c r="A36" s="25" t="s">
        <v>228</v>
      </c>
      <c r="B36" s="44">
        <f>_xlfn.XLOOKUP(A36,'Change in state retail prices'!A:A,'Change in state retail prices'!K:K,"Not found")</f>
        <v>-8.9680044386906133E-2</v>
      </c>
      <c r="C36" s="44">
        <f>_xlfn.XLOOKUP(A36,'Change in residential prices'!A:A,'Change in residential prices'!K:K,"Not found")</f>
        <v>0.4487312742740901</v>
      </c>
      <c r="D36" s="52">
        <f>_xlfn.XLOOKUP(A36,'State growth in retail sales'!A:A,'State growth in retail sales'!K:K,"Not found")</f>
        <v>2.3177226163726755E-3</v>
      </c>
      <c r="E36" s="84">
        <f>_xlfn.XLOOKUP(A36,'State growth in retail sales'!A:A,'State growth in retail sales'!H:H,"Not found")/1000</f>
        <v>56.652000000000001</v>
      </c>
      <c r="F36" s="84" t="s">
        <v>842</v>
      </c>
    </row>
    <row r="37" spans="1:6" x14ac:dyDescent="0.25">
      <c r="A37" s="25" t="s">
        <v>225</v>
      </c>
      <c r="B37" s="44">
        <f>_xlfn.XLOOKUP(A37,'Change in state retail prices'!A:A,'Change in state retail prices'!K:K,"Not found")</f>
        <v>-0.71547519948023464</v>
      </c>
      <c r="C37" s="44">
        <f>_xlfn.XLOOKUP(A37,'Change in residential prices'!A:A,'Change in residential prices'!K:K,"Not found")</f>
        <v>0.57107112257121173</v>
      </c>
      <c r="D37" s="52">
        <f>_xlfn.XLOOKUP(A37,'State growth in retail sales'!A:A,'State growth in retail sales'!K:K,"Not found")</f>
        <v>0.21045411244622597</v>
      </c>
      <c r="E37" s="84">
        <f>_xlfn.XLOOKUP(A37,'State growth in retail sales'!A:A,'State growth in retail sales'!H:H,"Not found")/1000</f>
        <v>519.70000000000005</v>
      </c>
      <c r="F37" s="84" t="s">
        <v>844</v>
      </c>
    </row>
    <row r="38" spans="1:6" x14ac:dyDescent="0.25">
      <c r="A38" s="25" t="s">
        <v>180</v>
      </c>
      <c r="B38" s="44">
        <f>_xlfn.XLOOKUP(A38,'Change in state retail prices'!A:A,'Change in state retail prices'!K:K,"Not found")</f>
        <v>0.1319447294933056</v>
      </c>
      <c r="C38" s="44">
        <f>_xlfn.XLOOKUP(A38,'Change in residential prices'!A:A,'Change in residential prices'!K:K,"Not found")</f>
        <v>0.44082388466456024</v>
      </c>
      <c r="D38" s="52">
        <f>_xlfn.XLOOKUP(A38,'State growth in retail sales'!A:A,'State growth in retail sales'!K:K,"Not found")</f>
        <v>1.3545012927994985E-2</v>
      </c>
      <c r="E38" s="84">
        <f>_xlfn.XLOOKUP(A38,'State growth in retail sales'!A:A,'State growth in retail sales'!H:H,"Not found")/1000</f>
        <v>103.48699999999999</v>
      </c>
      <c r="F38" s="84" t="s">
        <v>842</v>
      </c>
    </row>
    <row r="39" spans="1:6" x14ac:dyDescent="0.25">
      <c r="A39" s="25" t="s">
        <v>238</v>
      </c>
      <c r="B39" s="44">
        <f>_xlfn.XLOOKUP(A39,'Change in state retail prices'!A:A,'Change in state retail prices'!K:K,"Not found")</f>
        <v>0.89364527464398158</v>
      </c>
      <c r="C39" s="44">
        <f>_xlfn.XLOOKUP(A39,'Change in residential prices'!A:A,'Change in residential prices'!K:K,"Not found")</f>
        <v>0.83197706676530281</v>
      </c>
      <c r="D39" s="52">
        <f>_xlfn.XLOOKUP(A39,'State growth in retail sales'!A:A,'State growth in retail sales'!K:K,"Not found")</f>
        <v>-9.8843530690916276E-5</v>
      </c>
      <c r="E39" s="84">
        <f>_xlfn.XLOOKUP(A39,'State growth in retail sales'!A:A,'State growth in retail sales'!H:H,"Not found")/1000</f>
        <v>91.043999999999997</v>
      </c>
      <c r="F39" s="84" t="s">
        <v>844</v>
      </c>
    </row>
    <row r="40" spans="1:6" x14ac:dyDescent="0.25">
      <c r="A40" s="25" t="s">
        <v>173</v>
      </c>
      <c r="B40" s="44">
        <f>_xlfn.XLOOKUP(A40,'Change in state retail prices'!A:A,'Change in state retail prices'!K:K,"Not found")</f>
        <v>0.31099067529845215</v>
      </c>
      <c r="C40" s="44">
        <f>_xlfn.XLOOKUP(A40,'Change in residential prices'!A:A,'Change in residential prices'!K:K,"Not found")</f>
        <v>0.92200161845934758</v>
      </c>
      <c r="D40" s="52">
        <f>_xlfn.XLOOKUP(A40,'State growth in retail sales'!A:A,'State growth in retail sales'!K:K,"Not found")</f>
        <v>8.2903463522476049E-3</v>
      </c>
      <c r="E40" s="84">
        <f>_xlfn.XLOOKUP(A40,'State growth in retail sales'!A:A,'State growth in retail sales'!H:H,"Not found")/1000</f>
        <v>5.4729999999999999</v>
      </c>
      <c r="F40" s="84" t="s">
        <v>842</v>
      </c>
    </row>
    <row r="41" spans="1:6" x14ac:dyDescent="0.25">
      <c r="A41" s="25" t="s">
        <v>207</v>
      </c>
      <c r="B41" s="44">
        <f>_xlfn.XLOOKUP(A41,'Change in state retail prices'!A:A,'Change in state retail prices'!K:K,"Not found")</f>
        <v>0.86204661644975822</v>
      </c>
      <c r="C41" s="44">
        <f>_xlfn.XLOOKUP(A41,'Change in residential prices'!A:A,'Change in residential prices'!K:K,"Not found")</f>
        <v>1.230207703084071</v>
      </c>
      <c r="D41" s="52">
        <f>_xlfn.XLOOKUP(A41,'State growth in retail sales'!A:A,'State growth in retail sales'!K:K,"Not found")</f>
        <v>9.5038800244136371E-3</v>
      </c>
      <c r="E41" s="84">
        <f>_xlfn.XLOOKUP(A41,'State growth in retail sales'!A:A,'State growth in retail sales'!H:H,"Not found")/1000</f>
        <v>11.577999999999999</v>
      </c>
      <c r="F41" s="84" t="s">
        <v>842</v>
      </c>
    </row>
    <row r="42" spans="1:6" x14ac:dyDescent="0.25">
      <c r="A42" s="25" t="s">
        <v>215</v>
      </c>
      <c r="B42" s="44">
        <f>_xlfn.XLOOKUP(A42,'Change in state retail prices'!A:A,'Change in state retail prices'!K:K,"Not found")</f>
        <v>0.64388552981544223</v>
      </c>
      <c r="C42" s="44">
        <f>_xlfn.XLOOKUP(A42,'Change in residential prices'!A:A,'Change in residential prices'!K:K,"Not found")</f>
        <v>1.1571981402148097</v>
      </c>
      <c r="D42" s="52">
        <f>_xlfn.XLOOKUP(A42,'State growth in retail sales'!A:A,'State growth in retail sales'!K:K,"Not found")</f>
        <v>1.3113965169789755E-2</v>
      </c>
      <c r="E42" s="84">
        <f>_xlfn.XLOOKUP(A42,'State growth in retail sales'!A:A,'State growth in retail sales'!H:H,"Not found")/1000</f>
        <v>33.683</v>
      </c>
      <c r="F42" s="84" t="s">
        <v>842</v>
      </c>
    </row>
    <row r="43" spans="1:6" x14ac:dyDescent="0.25">
      <c r="A43" s="25" t="s">
        <v>182</v>
      </c>
      <c r="B43" s="44">
        <f>_xlfn.XLOOKUP(A43,'Change in state retail prices'!A:A,'Change in state retail prices'!K:K,"Not found")</f>
        <v>0.40612820469685751</v>
      </c>
      <c r="C43" s="44">
        <f>_xlfn.XLOOKUP(A43,'Change in residential prices'!A:A,'Change in residential prices'!K:K,"Not found")</f>
        <v>1.4218441726667113</v>
      </c>
      <c r="D43" s="52">
        <f>_xlfn.XLOOKUP(A43,'State growth in retail sales'!A:A,'State growth in retail sales'!K:K,"Not found")</f>
        <v>9.0303120076486984E-2</v>
      </c>
      <c r="E43" s="84">
        <f>_xlfn.XLOOKUP(A43,'State growth in retail sales'!A:A,'State growth in retail sales'!H:H,"Not found")/1000</f>
        <v>161.934</v>
      </c>
      <c r="F43" s="84" t="s">
        <v>844</v>
      </c>
    </row>
    <row r="44" spans="1:6" x14ac:dyDescent="0.25">
      <c r="A44" s="25" t="s">
        <v>179</v>
      </c>
      <c r="B44" s="44">
        <f>_xlfn.XLOOKUP(A44,'Change in state retail prices'!A:A,'Change in state retail prices'!K:K,"Not found")</f>
        <v>1.741230233497074</v>
      </c>
      <c r="C44" s="44">
        <f>_xlfn.XLOOKUP(A44,'Change in residential prices'!A:A,'Change in residential prices'!K:K,"Not found")</f>
        <v>1.3360282366597183</v>
      </c>
      <c r="D44" s="52">
        <f>_xlfn.XLOOKUP(A44,'State growth in retail sales'!A:A,'State growth in retail sales'!K:K,"Not found")</f>
        <v>-2.1139539759541349E-2</v>
      </c>
      <c r="E44" s="84">
        <f>_xlfn.XLOOKUP(A44,'State growth in retail sales'!A:A,'State growth in retail sales'!H:H,"Not found")/1000</f>
        <v>135.39500000000001</v>
      </c>
      <c r="F44" s="84" t="s">
        <v>844</v>
      </c>
    </row>
    <row r="45" spans="1:6" x14ac:dyDescent="0.25">
      <c r="A45" s="25" t="s">
        <v>237</v>
      </c>
      <c r="B45" s="44">
        <f>_xlfn.XLOOKUP(A45,'Change in state retail prices'!A:A,'Change in state retail prices'!K:K,"Not found")</f>
        <v>0.37000184945440928</v>
      </c>
      <c r="C45" s="44">
        <f>_xlfn.XLOOKUP(A45,'Change in residential prices'!A:A,'Change in residential prices'!K:K,"Not found")</f>
        <v>1.4481634917699271</v>
      </c>
      <c r="D45" s="52">
        <f>_xlfn.XLOOKUP(A45,'State growth in retail sales'!A:A,'State growth in retail sales'!K:K,"Not found")</f>
        <v>0.22147051821284025</v>
      </c>
      <c r="E45" s="84">
        <f>_xlfn.XLOOKUP(A45,'State growth in retail sales'!A:A,'State growth in retail sales'!H:H,"Not found")/1000</f>
        <v>61.567</v>
      </c>
      <c r="F45" s="84" t="s">
        <v>845</v>
      </c>
    </row>
    <row r="46" spans="1:6" x14ac:dyDescent="0.25">
      <c r="A46" s="25" t="s">
        <v>177</v>
      </c>
      <c r="B46" s="44">
        <f>_xlfn.XLOOKUP(A46,'Change in state retail prices'!A:A,'Change in state retail prices'!K:K,"Not found")</f>
        <v>1.9247733414503756</v>
      </c>
      <c r="C46" s="44">
        <f>_xlfn.XLOOKUP(A46,'Change in residential prices'!A:A,'Change in residential prices'!K:K,"Not found")</f>
        <v>2.1587025598384528</v>
      </c>
      <c r="D46" s="52">
        <f>_xlfn.XLOOKUP(A46,'State growth in retail sales'!A:A,'State growth in retail sales'!K:K,"Not found")</f>
        <v>-1.5544717681000138E-2</v>
      </c>
      <c r="E46" s="84">
        <f>_xlfn.XLOOKUP(A46,'State growth in retail sales'!A:A,'State growth in retail sales'!H:H,"Not found")/1000</f>
        <v>143.31700000000001</v>
      </c>
      <c r="F46" s="84" t="s">
        <v>844</v>
      </c>
    </row>
    <row r="47" spans="1:6" x14ac:dyDescent="0.25">
      <c r="A47" s="25" t="s">
        <v>172</v>
      </c>
      <c r="B47" s="44">
        <f>_xlfn.XLOOKUP(A47,'Change in state retail prices'!A:A,'Change in state retail prices'!K:K,"Not found")</f>
        <v>2.893145676189345</v>
      </c>
      <c r="C47" s="44">
        <f>_xlfn.XLOOKUP(A47,'Change in residential prices'!A:A,'Change in residential prices'!K:K,"Not found")</f>
        <v>2.4686671467601116</v>
      </c>
      <c r="D47" s="52">
        <f>_xlfn.XLOOKUP(A47,'State growth in retail sales'!A:A,'State growth in retail sales'!K:K,"Not found")</f>
        <v>7.3469387755102037E-3</v>
      </c>
      <c r="E47" s="84">
        <f>_xlfn.XLOOKUP(A47,'State growth in retail sales'!A:A,'State growth in retail sales'!H:H,"Not found")/1000</f>
        <v>7.4039999999999999</v>
      </c>
      <c r="F47" s="84" t="s">
        <v>842</v>
      </c>
    </row>
    <row r="48" spans="1:6" x14ac:dyDescent="0.25">
      <c r="A48" s="25" t="s">
        <v>168</v>
      </c>
      <c r="B48" s="44">
        <f>_xlfn.XLOOKUP(A48,'Change in state retail prices'!A:A,'Change in state retail prices'!K:K,"Not found")</f>
        <v>2.5019847656946013</v>
      </c>
      <c r="C48" s="44">
        <f>_xlfn.XLOOKUP(A48,'Change in residential prices'!A:A,'Change in residential prices'!K:K,"Not found")</f>
        <v>2.2147699263526732</v>
      </c>
      <c r="D48" s="52">
        <f>_xlfn.XLOOKUP(A48,'State growth in retail sales'!A:A,'State growth in retail sales'!K:K,"Not found")</f>
        <v>-1.1827956989247311E-2</v>
      </c>
      <c r="E48" s="84">
        <f>_xlfn.XLOOKUP(A48,'State growth in retail sales'!A:A,'State growth in retail sales'!H:H,"Not found")/1000</f>
        <v>27.57</v>
      </c>
      <c r="F48" s="84" t="s">
        <v>842</v>
      </c>
    </row>
    <row r="49" spans="1:6" x14ac:dyDescent="0.25">
      <c r="A49" s="25" t="s">
        <v>211</v>
      </c>
      <c r="B49" s="44">
        <f>_xlfn.XLOOKUP(A49,'Change in state retail prices'!A:A,'Change in state retail prices'!K:K,"Not found")</f>
        <v>2.5898672974235044</v>
      </c>
      <c r="C49" s="44">
        <f>_xlfn.XLOOKUP(A49,'Change in residential prices'!A:A,'Change in residential prices'!K:K,"Not found")</f>
        <v>2.8580657421882947</v>
      </c>
      <c r="D49" s="52">
        <f>_xlfn.XLOOKUP(A49,'State growth in retail sales'!A:A,'State growth in retail sales'!K:K,"Not found")</f>
        <v>-2.005895818580063E-2</v>
      </c>
      <c r="E49" s="84">
        <f>_xlfn.XLOOKUP(A49,'State growth in retail sales'!A:A,'State growth in retail sales'!H:H,"Not found")/1000</f>
        <v>59.503</v>
      </c>
      <c r="F49" s="84" t="s">
        <v>842</v>
      </c>
    </row>
    <row r="50" spans="1:6" x14ac:dyDescent="0.25">
      <c r="A50" s="25" t="s">
        <v>175</v>
      </c>
      <c r="B50" s="44">
        <f>_xlfn.XLOOKUP(A50,'Change in state retail prices'!A:A,'Change in state retail prices'!K:K,"Not found")</f>
        <v>2.170709300944349</v>
      </c>
      <c r="C50" s="44">
        <f>_xlfn.XLOOKUP(A50,'Change in residential prices'!A:A,'Change in residential prices'!K:K,"Not found")</f>
        <v>2.9423504038724246</v>
      </c>
      <c r="D50" s="52">
        <f>_xlfn.XLOOKUP(A50,'State growth in retail sales'!A:A,'State growth in retail sales'!K:K,"Not found")</f>
        <v>-1.1539970507461072E-2</v>
      </c>
      <c r="E50" s="84">
        <f>_xlfn.XLOOKUP(A50,'State growth in retail sales'!A:A,'State growth in retail sales'!H:H,"Not found")/1000</f>
        <v>73.063999999999993</v>
      </c>
      <c r="F50" s="84" t="s">
        <v>842</v>
      </c>
    </row>
    <row r="51" spans="1:6" x14ac:dyDescent="0.25">
      <c r="A51" s="25" t="s">
        <v>170</v>
      </c>
      <c r="B51" s="44">
        <f>_xlfn.XLOOKUP(A51,'Change in state retail prices'!A:A,'Change in state retail prices'!K:K,"Not found")</f>
        <v>2.7049367464512706</v>
      </c>
      <c r="C51" s="44">
        <f>_xlfn.XLOOKUP(A51,'Change in residential prices'!A:A,'Change in residential prices'!K:K,"Not found")</f>
        <v>3.2526637762071609</v>
      </c>
      <c r="D51" s="52">
        <f>_xlfn.XLOOKUP(A51,'State growth in retail sales'!A:A,'State growth in retail sales'!K:K,"Not found")</f>
        <v>7.8695677581471449E-3</v>
      </c>
      <c r="E51" s="84">
        <f>_xlfn.XLOOKUP(A51,'State growth in retail sales'!A:A,'State growth in retail sales'!H:H,"Not found")/1000</f>
        <v>51.741</v>
      </c>
      <c r="F51" s="84" t="s">
        <v>842</v>
      </c>
    </row>
    <row r="52" spans="1:6" x14ac:dyDescent="0.25">
      <c r="A52" s="25" t="s">
        <v>176</v>
      </c>
      <c r="B52" s="44">
        <f>_xlfn.XLOOKUP(A52,'Change in state retail prices'!A:A,'Change in state retail prices'!K:K,"Not found")</f>
        <v>3.8079561382669134</v>
      </c>
      <c r="C52" s="44">
        <f>_xlfn.XLOOKUP(A52,'Change in residential prices'!A:A,'Change in residential prices'!K:K,"Not found")</f>
        <v>4.1063133277899837</v>
      </c>
      <c r="D52" s="52">
        <f>_xlfn.XLOOKUP(A52,'State growth in retail sales'!A:A,'State growth in retail sales'!K:K,"Not found")</f>
        <v>-1.4491758241758242E-2</v>
      </c>
      <c r="E52" s="84">
        <f>_xlfn.XLOOKUP(A52,'State growth in retail sales'!A:A,'State growth in retail sales'!H:H,"Not found")/1000</f>
        <v>143.49</v>
      </c>
      <c r="F52" s="84" t="s">
        <v>842</v>
      </c>
    </row>
    <row r="53" spans="1:6" x14ac:dyDescent="0.25">
      <c r="A53" s="25" t="s">
        <v>208</v>
      </c>
      <c r="B53" s="44">
        <f>_xlfn.XLOOKUP(A53,'Change in state retail prices'!A:A,'Change in state retail prices'!K:K,"Not found")</f>
        <v>4.794944104927616</v>
      </c>
      <c r="C53" s="44">
        <f>_xlfn.XLOOKUP(A53,'Change in residential prices'!A:A,'Change in residential prices'!K:K,"Not found")</f>
        <v>5.4954339431100649</v>
      </c>
      <c r="D53" s="179">
        <f>_xlfn.XLOOKUP(A53,'State growth in retail sales'!A:A,'State growth in retail sales'!K:K,"Not found")</f>
        <v>-7.1363801233224514E-2</v>
      </c>
      <c r="E53" s="84">
        <f>_xlfn.XLOOKUP(A53,'State growth in retail sales'!A:A,'State growth in retail sales'!H:H,"Not found")/1000</f>
        <v>10.241</v>
      </c>
      <c r="F53" s="84" t="s">
        <v>842</v>
      </c>
    </row>
    <row r="54" spans="1:6" x14ac:dyDescent="0.25">
      <c r="A54" s="25" t="s">
        <v>169</v>
      </c>
      <c r="B54" s="44">
        <f>_xlfn.XLOOKUP(A54,'Change in state retail prices'!A:A,'Change in state retail prices'!K:K,"Not found")</f>
        <v>5.3705930391399868</v>
      </c>
      <c r="C54" s="44">
        <f>_xlfn.XLOOKUP(A54,'Change in residential prices'!A:A,'Change in residential prices'!K:K,"Not found")</f>
        <v>5.5584194779354981</v>
      </c>
      <c r="D54" s="52">
        <f>_xlfn.XLOOKUP(A54,'State growth in retail sales'!A:A,'State growth in retail sales'!K:K,"Not found")</f>
        <v>-5.9239686327991814E-2</v>
      </c>
      <c r="E54" s="84">
        <f>_xlfn.XLOOKUP(A54,'State growth in retail sales'!A:A,'State growth in retail sales'!H:H,"Not found")/1000</f>
        <v>11.037000000000001</v>
      </c>
      <c r="F54" s="84" t="s">
        <v>842</v>
      </c>
    </row>
    <row r="55" spans="1:6" x14ac:dyDescent="0.25">
      <c r="A55" s="25" t="s">
        <v>236</v>
      </c>
      <c r="B55" s="44">
        <f>_xlfn.XLOOKUP(A55,'Change in state retail prices'!A:A,'Change in state retail prices'!K:K,"Not found")</f>
        <v>6.2730682448677619</v>
      </c>
      <c r="C55" s="44">
        <f>_xlfn.XLOOKUP(A55,'Change in residential prices'!A:A,'Change in residential prices'!K:K,"Not found")</f>
        <v>8.3253615683373425</v>
      </c>
      <c r="D55" s="52">
        <f>_xlfn.XLOOKUP(A55,'State growth in retail sales'!A:A,'State growth in retail sales'!K:K,"Not found")</f>
        <v>-4.9612787014885432E-2</v>
      </c>
      <c r="E55" s="84">
        <f>_xlfn.XLOOKUP(A55,'State growth in retail sales'!A:A,'State growth in retail sales'!H:H,"Not found")/1000</f>
        <v>237.95699999999999</v>
      </c>
      <c r="F55" s="84" t="s">
        <v>842</v>
      </c>
    </row>
    <row r="58" spans="1:6" x14ac:dyDescent="0.25">
      <c r="A58" s="114" t="s">
        <v>197</v>
      </c>
      <c r="B58" s="28" t="s">
        <v>356</v>
      </c>
      <c r="C58" s="28"/>
    </row>
    <row r="59" spans="1:6" x14ac:dyDescent="0.25">
      <c r="A59" s="114"/>
      <c r="B59" s="28" t="s">
        <v>367</v>
      </c>
      <c r="C59" s="28"/>
    </row>
    <row r="60" spans="1:6" x14ac:dyDescent="0.25">
      <c r="A60" s="114"/>
      <c r="B60" s="28" t="s">
        <v>846</v>
      </c>
      <c r="C60" s="28"/>
    </row>
    <row r="61" spans="1:6" x14ac:dyDescent="0.25">
      <c r="B61" s="28"/>
      <c r="C61" s="28"/>
    </row>
    <row r="62" spans="1:6" x14ac:dyDescent="0.25">
      <c r="A62" s="114" t="s">
        <v>205</v>
      </c>
      <c r="B62" s="28" t="s">
        <v>761</v>
      </c>
      <c r="C62" s="28"/>
    </row>
  </sheetData>
  <autoFilter ref="A4:F55" xr:uid="{2046FEB5-9FDC-4D84-A325-06D132EFD9B6}">
    <sortState xmlns:xlrd2="http://schemas.microsoft.com/office/spreadsheetml/2017/richdata2" ref="A5:F55">
      <sortCondition ref="C4:C55"/>
    </sortState>
  </autoFilter>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C0764-0168-4F19-838D-0825DB4ACFE1}">
  <sheetPr>
    <tabColor theme="8" tint="0.79998168889431442"/>
  </sheetPr>
  <dimension ref="A1:T227"/>
  <sheetViews>
    <sheetView zoomScaleNormal="100" workbookViewId="0">
      <selection activeCell="C68" sqref="B1:C1048576"/>
    </sheetView>
  </sheetViews>
  <sheetFormatPr defaultRowHeight="15" x14ac:dyDescent="0.25"/>
  <cols>
    <col min="1" max="1" width="29" customWidth="1"/>
    <col min="2" max="3" width="25.140625" style="58" customWidth="1"/>
    <col min="4" max="4" width="19" style="25" customWidth="1"/>
    <col min="5" max="5" width="25.5703125" style="25" customWidth="1"/>
    <col min="6" max="6" width="19" style="25" customWidth="1"/>
    <col min="7" max="7" width="17.42578125" style="25" customWidth="1"/>
    <col min="8" max="8" width="11.42578125" style="25" customWidth="1"/>
    <col min="9" max="10" width="12" style="25" customWidth="1"/>
    <col min="11" max="11" width="10.85546875" style="25" customWidth="1"/>
    <col min="12" max="12" width="5.5703125" style="25" customWidth="1"/>
    <col min="13" max="13" width="6.140625" style="25" customWidth="1"/>
    <col min="14" max="14" width="25.42578125" customWidth="1"/>
    <col min="15" max="15" width="25.42578125" style="26" customWidth="1"/>
    <col min="16" max="16" width="11.5703125" style="26" customWidth="1"/>
    <col min="17" max="18" width="9.140625" style="46"/>
    <col min="19" max="19" width="9.140625" style="85"/>
  </cols>
  <sheetData>
    <row r="1" spans="1:20" x14ac:dyDescent="0.25">
      <c r="A1" s="24" t="s">
        <v>124</v>
      </c>
      <c r="B1" s="218"/>
    </row>
    <row r="2" spans="1:20" x14ac:dyDescent="0.25">
      <c r="A2" t="s">
        <v>125</v>
      </c>
    </row>
    <row r="4" spans="1:20" ht="33.75" customHeight="1" x14ac:dyDescent="0.25">
      <c r="A4" s="32" t="s">
        <v>613</v>
      </c>
      <c r="B4" s="219" t="s">
        <v>847</v>
      </c>
      <c r="C4" s="219" t="s">
        <v>848</v>
      </c>
      <c r="D4" s="43" t="s">
        <v>849</v>
      </c>
      <c r="E4" s="43" t="s">
        <v>366</v>
      </c>
      <c r="F4" s="43" t="s">
        <v>850</v>
      </c>
      <c r="G4" s="43" t="s">
        <v>851</v>
      </c>
      <c r="H4" s="43" t="s">
        <v>614</v>
      </c>
      <c r="I4" s="54"/>
      <c r="J4" s="54"/>
      <c r="K4" s="54"/>
      <c r="L4" s="54"/>
      <c r="M4" s="54"/>
      <c r="N4" s="54"/>
      <c r="O4" s="88"/>
      <c r="P4" s="88"/>
      <c r="Q4" s="90"/>
      <c r="R4" s="90"/>
      <c r="S4" s="91"/>
      <c r="T4" s="54"/>
    </row>
    <row r="5" spans="1:20" x14ac:dyDescent="0.25">
      <c r="A5" t="s">
        <v>852</v>
      </c>
      <c r="B5" s="58">
        <v>2617630</v>
      </c>
      <c r="C5" s="58">
        <v>6298269</v>
      </c>
      <c r="D5" s="70">
        <f>(C5-B5)/B5</f>
        <v>1.4060959723108308</v>
      </c>
      <c r="E5" s="44">
        <v>-6.9233141348011005</v>
      </c>
      <c r="F5" s="84">
        <f>C5/1000</f>
        <v>6298.2690000000002</v>
      </c>
      <c r="G5" s="93" t="s">
        <v>853</v>
      </c>
      <c r="H5" s="25" t="s">
        <v>735</v>
      </c>
      <c r="I5" s="70"/>
      <c r="M5" s="26"/>
      <c r="N5" s="61"/>
      <c r="P5" s="89"/>
    </row>
    <row r="6" spans="1:20" x14ac:dyDescent="0.25">
      <c r="A6" t="s">
        <v>854</v>
      </c>
      <c r="B6" s="58">
        <v>2102091</v>
      </c>
      <c r="C6" s="58">
        <v>3113163</v>
      </c>
      <c r="D6" s="70">
        <f t="shared" ref="D6:D69" si="0">(C6-B6)/B6</f>
        <v>0.4809839345680087</v>
      </c>
      <c r="E6" s="44">
        <v>-4.4844547831234953</v>
      </c>
      <c r="F6" s="84">
        <f t="shared" ref="F6:F69" si="1">C6/1000</f>
        <v>3113.163</v>
      </c>
      <c r="G6" s="93" t="s">
        <v>805</v>
      </c>
      <c r="H6" s="25" t="s">
        <v>735</v>
      </c>
      <c r="I6" s="70"/>
      <c r="J6" s="70"/>
      <c r="M6" s="26"/>
      <c r="N6" s="61"/>
      <c r="P6" s="89"/>
    </row>
    <row r="7" spans="1:20" x14ac:dyDescent="0.25">
      <c r="A7" t="s">
        <v>855</v>
      </c>
      <c r="B7" s="58">
        <v>1128452</v>
      </c>
      <c r="C7" s="58">
        <v>2028815</v>
      </c>
      <c r="D7" s="70">
        <f t="shared" si="0"/>
        <v>0.79787443329446006</v>
      </c>
      <c r="E7" s="44">
        <v>-4.4776169184701589</v>
      </c>
      <c r="F7" s="84">
        <f t="shared" si="1"/>
        <v>2028.8150000000001</v>
      </c>
      <c r="G7" s="93" t="s">
        <v>853</v>
      </c>
      <c r="H7" s="25" t="s">
        <v>735</v>
      </c>
      <c r="I7" s="70"/>
      <c r="J7" s="70"/>
      <c r="M7" s="26"/>
      <c r="N7" s="61"/>
      <c r="P7" s="89"/>
    </row>
    <row r="8" spans="1:20" x14ac:dyDescent="0.25">
      <c r="A8" t="s">
        <v>856</v>
      </c>
      <c r="B8" s="58">
        <v>30859</v>
      </c>
      <c r="C8" s="58">
        <v>31616</v>
      </c>
      <c r="D8" s="70">
        <f t="shared" si="0"/>
        <v>2.453093100878188E-2</v>
      </c>
      <c r="E8" s="44">
        <v>-4.3336345069763045</v>
      </c>
      <c r="F8" s="84">
        <f t="shared" si="1"/>
        <v>31.616</v>
      </c>
      <c r="G8" s="93" t="s">
        <v>853</v>
      </c>
      <c r="H8" s="25" t="s">
        <v>735</v>
      </c>
      <c r="I8" s="70"/>
      <c r="J8" s="70"/>
      <c r="M8" s="26"/>
      <c r="N8" s="61"/>
      <c r="P8" s="89"/>
    </row>
    <row r="9" spans="1:20" x14ac:dyDescent="0.25">
      <c r="A9" t="s">
        <v>857</v>
      </c>
      <c r="B9" s="58">
        <v>4350</v>
      </c>
      <c r="C9" s="58">
        <v>3975</v>
      </c>
      <c r="D9" s="70">
        <f t="shared" si="0"/>
        <v>-8.6206896551724144E-2</v>
      </c>
      <c r="E9" s="44">
        <v>-4.0355388916964827</v>
      </c>
      <c r="F9" s="84">
        <f t="shared" si="1"/>
        <v>3.9750000000000001</v>
      </c>
      <c r="G9" s="93" t="s">
        <v>858</v>
      </c>
      <c r="H9" s="25" t="s">
        <v>735</v>
      </c>
      <c r="I9" s="70"/>
      <c r="J9" s="70"/>
      <c r="M9" s="26"/>
      <c r="N9" s="61"/>
      <c r="P9" s="89"/>
    </row>
    <row r="10" spans="1:20" x14ac:dyDescent="0.25">
      <c r="A10" t="s">
        <v>859</v>
      </c>
      <c r="B10" s="58">
        <v>32921</v>
      </c>
      <c r="C10" s="58">
        <v>25592</v>
      </c>
      <c r="D10" s="70">
        <f t="shared" si="0"/>
        <v>-0.22262385711248139</v>
      </c>
      <c r="E10" s="44">
        <v>-3.3908785186305135</v>
      </c>
      <c r="F10" s="84">
        <f t="shared" si="1"/>
        <v>25.591999999999999</v>
      </c>
      <c r="G10" s="93" t="s">
        <v>853</v>
      </c>
      <c r="H10" s="25" t="s">
        <v>735</v>
      </c>
      <c r="I10" s="70"/>
      <c r="J10" s="70"/>
      <c r="L10" s="70"/>
      <c r="M10" s="26"/>
      <c r="N10" s="61"/>
      <c r="P10" s="89"/>
    </row>
    <row r="11" spans="1:20" x14ac:dyDescent="0.25">
      <c r="A11" t="s">
        <v>860</v>
      </c>
      <c r="B11" s="58">
        <v>83974</v>
      </c>
      <c r="C11" s="58">
        <v>118989</v>
      </c>
      <c r="D11" s="70">
        <f t="shared" si="0"/>
        <v>0.41697430156953341</v>
      </c>
      <c r="E11" s="44">
        <v>-3.2247454773957855</v>
      </c>
      <c r="F11" s="84">
        <f t="shared" si="1"/>
        <v>118.989</v>
      </c>
      <c r="G11" s="93" t="s">
        <v>853</v>
      </c>
      <c r="H11" s="25" t="s">
        <v>735</v>
      </c>
      <c r="I11" s="70"/>
      <c r="J11" s="70"/>
      <c r="L11" s="70"/>
      <c r="M11" s="26"/>
      <c r="N11" s="61"/>
      <c r="P11" s="89"/>
    </row>
    <row r="12" spans="1:20" x14ac:dyDescent="0.25">
      <c r="A12" t="s">
        <v>861</v>
      </c>
      <c r="B12" s="58">
        <v>70238</v>
      </c>
      <c r="C12" s="58">
        <v>154344</v>
      </c>
      <c r="D12" s="70">
        <f t="shared" si="0"/>
        <v>1.1974429795837012</v>
      </c>
      <c r="E12" s="44">
        <v>-3.1417496976989767</v>
      </c>
      <c r="F12" s="84">
        <f t="shared" si="1"/>
        <v>154.34399999999999</v>
      </c>
      <c r="G12" s="93" t="s">
        <v>853</v>
      </c>
      <c r="H12" s="25" t="s">
        <v>735</v>
      </c>
      <c r="I12" s="70"/>
      <c r="J12" s="70"/>
      <c r="L12" s="70"/>
      <c r="M12" s="26"/>
      <c r="N12" s="61"/>
      <c r="P12" s="89"/>
    </row>
    <row r="13" spans="1:20" x14ac:dyDescent="0.25">
      <c r="A13" t="s">
        <v>862</v>
      </c>
      <c r="B13" s="58">
        <v>134538</v>
      </c>
      <c r="C13" s="58">
        <v>188995</v>
      </c>
      <c r="D13" s="70">
        <f t="shared" si="0"/>
        <v>0.40477039944105009</v>
      </c>
      <c r="E13" s="44">
        <v>-3.0864074822853187</v>
      </c>
      <c r="F13" s="84">
        <f t="shared" si="1"/>
        <v>188.995</v>
      </c>
      <c r="G13" s="93" t="s">
        <v>853</v>
      </c>
      <c r="H13" s="25" t="s">
        <v>735</v>
      </c>
      <c r="I13" s="70"/>
      <c r="J13" s="70"/>
      <c r="L13" s="70"/>
      <c r="M13" s="26"/>
      <c r="N13" s="61"/>
      <c r="P13" s="89"/>
    </row>
    <row r="14" spans="1:20" x14ac:dyDescent="0.25">
      <c r="A14" t="s">
        <v>863</v>
      </c>
      <c r="B14" s="58">
        <v>1107</v>
      </c>
      <c r="C14" s="58">
        <v>1282</v>
      </c>
      <c r="D14" s="70">
        <f t="shared" si="0"/>
        <v>0.15808491418247517</v>
      </c>
      <c r="E14" s="44">
        <v>-2.7982682389341234</v>
      </c>
      <c r="F14" s="84">
        <f t="shared" si="1"/>
        <v>1.282</v>
      </c>
      <c r="G14" s="93" t="s">
        <v>858</v>
      </c>
      <c r="H14" s="25" t="s">
        <v>735</v>
      </c>
      <c r="I14" s="70"/>
      <c r="J14" s="70"/>
      <c r="L14" s="70"/>
      <c r="M14" s="26"/>
      <c r="N14" s="61"/>
      <c r="P14" s="89"/>
    </row>
    <row r="15" spans="1:20" x14ac:dyDescent="0.25">
      <c r="A15" t="s">
        <v>864</v>
      </c>
      <c r="B15" s="58">
        <v>50491</v>
      </c>
      <c r="C15" s="58">
        <v>48529</v>
      </c>
      <c r="D15" s="70">
        <f t="shared" si="0"/>
        <v>-3.8858410409776001E-2</v>
      </c>
      <c r="E15" s="44">
        <v>-2.7732010171333616</v>
      </c>
      <c r="F15" s="84">
        <f t="shared" si="1"/>
        <v>48.529000000000003</v>
      </c>
      <c r="G15" s="93" t="s">
        <v>858</v>
      </c>
      <c r="H15" s="25" t="s">
        <v>735</v>
      </c>
      <c r="I15" s="70"/>
      <c r="J15" s="70"/>
      <c r="L15" s="70"/>
      <c r="M15" s="26"/>
      <c r="N15" s="61"/>
      <c r="P15" s="89"/>
    </row>
    <row r="16" spans="1:20" x14ac:dyDescent="0.25">
      <c r="A16" t="s">
        <v>865</v>
      </c>
      <c r="B16" s="58">
        <v>1820322</v>
      </c>
      <c r="C16" s="58">
        <v>2453297</v>
      </c>
      <c r="D16" s="70">
        <f t="shared" si="0"/>
        <v>0.34772694061819831</v>
      </c>
      <c r="E16" s="44">
        <v>-2.4620110807534665</v>
      </c>
      <c r="F16" s="84">
        <f t="shared" si="1"/>
        <v>2453.297</v>
      </c>
      <c r="G16" s="93" t="s">
        <v>805</v>
      </c>
      <c r="H16" s="25" t="s">
        <v>735</v>
      </c>
      <c r="I16" s="70"/>
      <c r="J16" s="70"/>
      <c r="L16" s="70"/>
      <c r="M16" s="26"/>
      <c r="N16" s="61"/>
      <c r="P16" s="89"/>
    </row>
    <row r="17" spans="1:16" x14ac:dyDescent="0.25">
      <c r="A17" t="s">
        <v>866</v>
      </c>
      <c r="B17" s="58">
        <v>3273</v>
      </c>
      <c r="C17" s="58">
        <v>3147</v>
      </c>
      <c r="D17" s="70">
        <f t="shared" si="0"/>
        <v>-3.84967919340055E-2</v>
      </c>
      <c r="E17" s="44">
        <v>-2.4247946468231376</v>
      </c>
      <c r="F17" s="84">
        <f t="shared" si="1"/>
        <v>3.1469999999999998</v>
      </c>
      <c r="G17" s="93" t="s">
        <v>858</v>
      </c>
      <c r="H17" s="25" t="s">
        <v>735</v>
      </c>
      <c r="I17" s="70"/>
      <c r="J17" s="70"/>
      <c r="L17" s="70"/>
      <c r="M17" s="44"/>
      <c r="N17" s="61"/>
      <c r="P17" s="89"/>
    </row>
    <row r="18" spans="1:16" x14ac:dyDescent="0.25">
      <c r="A18" t="s">
        <v>867</v>
      </c>
      <c r="B18" s="58">
        <v>788318</v>
      </c>
      <c r="C18" s="58">
        <v>762901</v>
      </c>
      <c r="D18" s="70">
        <f t="shared" si="0"/>
        <v>-3.224206475051946E-2</v>
      </c>
      <c r="E18" s="44">
        <v>-2.2801157114067987</v>
      </c>
      <c r="F18" s="84">
        <f t="shared" si="1"/>
        <v>762.90099999999995</v>
      </c>
      <c r="G18" s="93" t="s">
        <v>853</v>
      </c>
      <c r="H18" s="25" t="s">
        <v>735</v>
      </c>
      <c r="I18" s="70"/>
      <c r="J18" s="70"/>
      <c r="L18" s="70"/>
      <c r="M18" s="44"/>
      <c r="N18" s="61"/>
      <c r="P18" s="89"/>
    </row>
    <row r="19" spans="1:16" x14ac:dyDescent="0.25">
      <c r="A19" t="s">
        <v>868</v>
      </c>
      <c r="B19" s="58">
        <v>18701</v>
      </c>
      <c r="C19" s="58">
        <v>18242</v>
      </c>
      <c r="D19" s="70">
        <f t="shared" si="0"/>
        <v>-2.4544142024490668E-2</v>
      </c>
      <c r="E19" s="44">
        <v>-2.1794644323419998</v>
      </c>
      <c r="F19" s="84">
        <f t="shared" si="1"/>
        <v>18.242000000000001</v>
      </c>
      <c r="G19" s="93" t="s">
        <v>858</v>
      </c>
      <c r="H19" s="25" t="s">
        <v>735</v>
      </c>
      <c r="I19" s="70"/>
      <c r="J19" s="70"/>
      <c r="L19" s="70"/>
      <c r="M19" s="44"/>
      <c r="N19" s="61"/>
      <c r="P19" s="89"/>
    </row>
    <row r="20" spans="1:16" x14ac:dyDescent="0.25">
      <c r="A20" t="s">
        <v>869</v>
      </c>
      <c r="B20" s="58">
        <v>4459225</v>
      </c>
      <c r="C20" s="58">
        <v>6527653</v>
      </c>
      <c r="D20" s="70">
        <f t="shared" si="0"/>
        <v>0.46385369655040953</v>
      </c>
      <c r="E20" s="44">
        <v>-2.0677380924972946</v>
      </c>
      <c r="F20" s="84">
        <f t="shared" si="1"/>
        <v>6527.6530000000002</v>
      </c>
      <c r="G20" s="93" t="s">
        <v>853</v>
      </c>
      <c r="H20" s="25" t="s">
        <v>735</v>
      </c>
      <c r="I20" s="70"/>
      <c r="J20" s="70"/>
      <c r="L20" s="70"/>
      <c r="M20" s="44"/>
      <c r="N20" s="61"/>
      <c r="P20" s="89"/>
    </row>
    <row r="21" spans="1:16" x14ac:dyDescent="0.25">
      <c r="A21" t="s">
        <v>870</v>
      </c>
      <c r="B21" s="58">
        <v>160382</v>
      </c>
      <c r="C21" s="58">
        <v>164222</v>
      </c>
      <c r="D21" s="70">
        <f t="shared" si="0"/>
        <v>2.3942836477908992E-2</v>
      </c>
      <c r="E21" s="44">
        <v>-2.0592630344069569</v>
      </c>
      <c r="F21" s="84">
        <f t="shared" si="1"/>
        <v>164.22200000000001</v>
      </c>
      <c r="G21" s="93" t="s">
        <v>853</v>
      </c>
      <c r="H21" s="25" t="s">
        <v>735</v>
      </c>
      <c r="I21" s="70"/>
      <c r="J21" s="70"/>
      <c r="L21" s="70"/>
      <c r="M21" s="44"/>
      <c r="N21" s="61"/>
      <c r="P21" s="89"/>
    </row>
    <row r="22" spans="1:16" x14ac:dyDescent="0.25">
      <c r="A22" t="s">
        <v>871</v>
      </c>
      <c r="B22" s="58">
        <v>228432</v>
      </c>
      <c r="C22" s="58">
        <v>213000</v>
      </c>
      <c r="D22" s="70">
        <f t="shared" si="0"/>
        <v>-6.7556209287665481E-2</v>
      </c>
      <c r="E22" s="44">
        <v>-1.9299147489058708</v>
      </c>
      <c r="F22" s="84">
        <f t="shared" si="1"/>
        <v>213</v>
      </c>
      <c r="G22" s="93" t="s">
        <v>853</v>
      </c>
      <c r="H22" s="25" t="s">
        <v>735</v>
      </c>
      <c r="I22" s="70"/>
      <c r="J22" s="70"/>
      <c r="L22" s="70"/>
      <c r="M22" s="44"/>
      <c r="N22" s="61"/>
      <c r="P22" s="89"/>
    </row>
    <row r="23" spans="1:16" x14ac:dyDescent="0.25">
      <c r="A23" t="s">
        <v>872</v>
      </c>
      <c r="B23" s="58">
        <v>16326</v>
      </c>
      <c r="C23" s="58">
        <v>14334</v>
      </c>
      <c r="D23" s="70">
        <f t="shared" si="0"/>
        <v>-0.12201396545387726</v>
      </c>
      <c r="E23" s="44">
        <v>-1.8952214952534803</v>
      </c>
      <c r="F23" s="84">
        <f t="shared" si="1"/>
        <v>14.334</v>
      </c>
      <c r="G23" s="93" t="s">
        <v>858</v>
      </c>
      <c r="H23" s="25" t="s">
        <v>735</v>
      </c>
      <c r="I23" s="70"/>
      <c r="J23" s="70"/>
      <c r="L23" s="70"/>
      <c r="M23" s="44"/>
      <c r="N23" s="62"/>
      <c r="P23" s="89"/>
    </row>
    <row r="24" spans="1:16" x14ac:dyDescent="0.25">
      <c r="A24" t="s">
        <v>873</v>
      </c>
      <c r="B24" s="58">
        <v>13861</v>
      </c>
      <c r="C24" s="58">
        <v>13358</v>
      </c>
      <c r="D24" s="70">
        <f t="shared" si="0"/>
        <v>-3.6288868047038451E-2</v>
      </c>
      <c r="E24" s="44">
        <v>-1.8024911726884252</v>
      </c>
      <c r="F24" s="84">
        <f t="shared" si="1"/>
        <v>13.358000000000001</v>
      </c>
      <c r="G24" s="93" t="s">
        <v>858</v>
      </c>
      <c r="H24" s="25" t="s">
        <v>735</v>
      </c>
      <c r="I24" s="70"/>
      <c r="J24" s="70"/>
      <c r="L24" s="70"/>
      <c r="M24" s="44"/>
      <c r="N24" s="61"/>
      <c r="P24" s="89"/>
    </row>
    <row r="25" spans="1:16" x14ac:dyDescent="0.25">
      <c r="A25" t="s">
        <v>874</v>
      </c>
      <c r="B25" s="58">
        <v>1287375</v>
      </c>
      <c r="C25" s="58">
        <v>1358185</v>
      </c>
      <c r="D25" s="70">
        <f t="shared" si="0"/>
        <v>5.5003398388193028E-2</v>
      </c>
      <c r="E25" s="44">
        <v>-1.7687464267972501</v>
      </c>
      <c r="F25" s="84">
        <f t="shared" si="1"/>
        <v>1358.1849999999999</v>
      </c>
      <c r="G25" s="93" t="s">
        <v>853</v>
      </c>
      <c r="H25" s="25" t="s">
        <v>735</v>
      </c>
      <c r="I25" s="70"/>
      <c r="J25" s="70"/>
      <c r="L25" s="70"/>
      <c r="M25" s="44"/>
      <c r="N25" s="61"/>
      <c r="P25" s="89"/>
    </row>
    <row r="26" spans="1:16" x14ac:dyDescent="0.25">
      <c r="A26" t="s">
        <v>875</v>
      </c>
      <c r="B26" s="58">
        <v>443156</v>
      </c>
      <c r="C26" s="58">
        <v>441729</v>
      </c>
      <c r="D26" s="70">
        <f t="shared" si="0"/>
        <v>-3.2200850264917998E-3</v>
      </c>
      <c r="E26" s="44">
        <v>-1.6608011204145292</v>
      </c>
      <c r="F26" s="84">
        <f t="shared" si="1"/>
        <v>441.72899999999998</v>
      </c>
      <c r="G26" s="93" t="s">
        <v>853</v>
      </c>
      <c r="H26" s="25" t="s">
        <v>735</v>
      </c>
      <c r="I26" s="70"/>
      <c r="J26" s="70"/>
      <c r="L26" s="70"/>
      <c r="M26" s="44"/>
      <c r="N26" s="61"/>
      <c r="P26" s="89"/>
    </row>
    <row r="27" spans="1:16" x14ac:dyDescent="0.25">
      <c r="A27" t="s">
        <v>876</v>
      </c>
      <c r="B27" s="58">
        <v>29538</v>
      </c>
      <c r="C27" s="58">
        <v>31767</v>
      </c>
      <c r="D27" s="70">
        <f t="shared" si="0"/>
        <v>7.546211659557181E-2</v>
      </c>
      <c r="E27" s="44">
        <v>-1.6122402549350348</v>
      </c>
      <c r="F27" s="84">
        <f t="shared" si="1"/>
        <v>31.766999999999999</v>
      </c>
      <c r="G27" s="93" t="s">
        <v>858</v>
      </c>
      <c r="H27" s="25" t="s">
        <v>735</v>
      </c>
      <c r="I27" s="70"/>
      <c r="J27" s="70"/>
      <c r="L27" s="70"/>
      <c r="M27" s="44"/>
      <c r="N27" s="61"/>
      <c r="P27" s="89"/>
    </row>
    <row r="28" spans="1:16" x14ac:dyDescent="0.25">
      <c r="A28" t="s">
        <v>877</v>
      </c>
      <c r="B28" s="58">
        <v>671486</v>
      </c>
      <c r="C28" s="58">
        <v>677574</v>
      </c>
      <c r="D28" s="70">
        <f t="shared" si="0"/>
        <v>9.0664585709903118E-3</v>
      </c>
      <c r="E28" s="44">
        <v>-1.61165836963964</v>
      </c>
      <c r="F28" s="84">
        <f t="shared" si="1"/>
        <v>677.57399999999996</v>
      </c>
      <c r="G28" s="93" t="s">
        <v>853</v>
      </c>
      <c r="H28" s="25" t="s">
        <v>735</v>
      </c>
      <c r="I28" s="70"/>
      <c r="J28" s="70"/>
      <c r="L28" s="70"/>
      <c r="M28" s="44"/>
      <c r="N28" s="61"/>
      <c r="P28" s="89"/>
    </row>
    <row r="29" spans="1:16" x14ac:dyDescent="0.25">
      <c r="A29" t="s">
        <v>878</v>
      </c>
      <c r="B29" s="58">
        <v>599807</v>
      </c>
      <c r="C29" s="58">
        <v>575612</v>
      </c>
      <c r="D29" s="70">
        <f t="shared" si="0"/>
        <v>-4.0337975382081233E-2</v>
      </c>
      <c r="E29" s="44">
        <v>-1.56922936510799</v>
      </c>
      <c r="F29" s="84">
        <f t="shared" si="1"/>
        <v>575.61199999999997</v>
      </c>
      <c r="G29" s="93" t="s">
        <v>853</v>
      </c>
      <c r="H29" s="25" t="s">
        <v>735</v>
      </c>
      <c r="I29" s="70"/>
      <c r="J29" s="70"/>
      <c r="L29" s="70"/>
      <c r="M29" s="44"/>
      <c r="N29" s="61"/>
      <c r="P29" s="89"/>
    </row>
    <row r="30" spans="1:16" x14ac:dyDescent="0.25">
      <c r="A30" t="s">
        <v>879</v>
      </c>
      <c r="B30" s="58">
        <v>252783</v>
      </c>
      <c r="C30" s="58">
        <v>233770</v>
      </c>
      <c r="D30" s="70">
        <f t="shared" si="0"/>
        <v>-7.5214709849950351E-2</v>
      </c>
      <c r="E30" s="44">
        <v>-1.2033815168298307</v>
      </c>
      <c r="F30" s="84">
        <f t="shared" si="1"/>
        <v>233.77</v>
      </c>
      <c r="G30" s="93" t="s">
        <v>853</v>
      </c>
      <c r="H30" s="25" t="s">
        <v>735</v>
      </c>
      <c r="I30" s="70"/>
      <c r="J30" s="70"/>
      <c r="L30" s="70"/>
      <c r="M30" s="44"/>
      <c r="N30" s="61"/>
      <c r="P30" s="89"/>
    </row>
    <row r="31" spans="1:16" x14ac:dyDescent="0.25">
      <c r="A31" t="s">
        <v>880</v>
      </c>
      <c r="B31" s="58">
        <v>647</v>
      </c>
      <c r="C31" s="58">
        <v>385</v>
      </c>
      <c r="D31" s="70">
        <f t="shared" si="0"/>
        <v>-0.40494590417310666</v>
      </c>
      <c r="E31" s="44">
        <v>-1.2014528156691959</v>
      </c>
      <c r="F31" s="84">
        <f t="shared" si="1"/>
        <v>0.38500000000000001</v>
      </c>
      <c r="G31" s="93" t="s">
        <v>853</v>
      </c>
      <c r="H31" s="25" t="s">
        <v>735</v>
      </c>
      <c r="I31" s="70"/>
      <c r="J31" s="70"/>
      <c r="L31" s="70"/>
      <c r="M31" s="44"/>
      <c r="N31" s="61"/>
      <c r="P31" s="89"/>
    </row>
    <row r="32" spans="1:16" x14ac:dyDescent="0.25">
      <c r="A32" t="s">
        <v>881</v>
      </c>
      <c r="B32" s="58">
        <v>5455</v>
      </c>
      <c r="C32" s="58">
        <v>4412</v>
      </c>
      <c r="D32" s="70">
        <f t="shared" si="0"/>
        <v>-0.19120073327222731</v>
      </c>
      <c r="E32" s="44">
        <v>-1.0694674903821451</v>
      </c>
      <c r="F32" s="84">
        <f t="shared" si="1"/>
        <v>4.4119999999999999</v>
      </c>
      <c r="G32" s="93" t="s">
        <v>858</v>
      </c>
      <c r="H32" s="25" t="s">
        <v>735</v>
      </c>
      <c r="I32" s="70"/>
      <c r="J32" s="70"/>
      <c r="L32" s="70"/>
      <c r="M32" s="44"/>
      <c r="N32" s="61"/>
      <c r="P32" s="89"/>
    </row>
    <row r="33" spans="1:16" x14ac:dyDescent="0.25">
      <c r="A33" t="s">
        <v>882</v>
      </c>
      <c r="B33" s="58">
        <v>372296</v>
      </c>
      <c r="C33" s="58">
        <v>386075</v>
      </c>
      <c r="D33" s="70">
        <f t="shared" si="0"/>
        <v>3.7010873068740999E-2</v>
      </c>
      <c r="E33" s="44">
        <v>-0.88735523606774436</v>
      </c>
      <c r="F33" s="84">
        <f t="shared" si="1"/>
        <v>386.07499999999999</v>
      </c>
      <c r="G33" s="93" t="s">
        <v>853</v>
      </c>
      <c r="H33" s="25" t="s">
        <v>735</v>
      </c>
      <c r="I33" s="70"/>
      <c r="J33" s="70"/>
      <c r="L33" s="70"/>
      <c r="M33" s="44"/>
      <c r="N33" s="61"/>
      <c r="P33" s="89"/>
    </row>
    <row r="34" spans="1:16" x14ac:dyDescent="0.25">
      <c r="A34" t="s">
        <v>883</v>
      </c>
      <c r="B34" s="58">
        <v>60783</v>
      </c>
      <c r="C34" s="58">
        <v>54540</v>
      </c>
      <c r="D34" s="70">
        <f t="shared" si="0"/>
        <v>-0.10270963920833127</v>
      </c>
      <c r="E34" s="44">
        <v>-0.5639978483932131</v>
      </c>
      <c r="F34" s="84">
        <f t="shared" si="1"/>
        <v>54.54</v>
      </c>
      <c r="G34" s="93" t="s">
        <v>858</v>
      </c>
      <c r="H34" s="25" t="s">
        <v>735</v>
      </c>
      <c r="I34" s="70"/>
      <c r="J34" s="70"/>
      <c r="L34" s="70"/>
      <c r="M34" s="44"/>
      <c r="N34" s="61"/>
      <c r="P34" s="89"/>
    </row>
    <row r="35" spans="1:16" x14ac:dyDescent="0.25">
      <c r="A35" t="s">
        <v>884</v>
      </c>
      <c r="B35" s="58">
        <v>413440</v>
      </c>
      <c r="C35" s="58">
        <v>204675</v>
      </c>
      <c r="D35" s="70">
        <f t="shared" si="0"/>
        <v>-0.50494630417956654</v>
      </c>
      <c r="E35" s="44">
        <v>-0.37531864387661784</v>
      </c>
      <c r="F35" s="84">
        <f t="shared" si="1"/>
        <v>204.67500000000001</v>
      </c>
      <c r="G35" s="93" t="s">
        <v>853</v>
      </c>
      <c r="H35" s="25" t="s">
        <v>735</v>
      </c>
      <c r="I35" s="70"/>
      <c r="J35" s="70"/>
      <c r="L35" s="70"/>
      <c r="M35" s="44"/>
      <c r="N35" s="61"/>
      <c r="P35" s="89"/>
    </row>
    <row r="36" spans="1:16" x14ac:dyDescent="0.25">
      <c r="A36" t="s">
        <v>885</v>
      </c>
      <c r="B36" s="58">
        <v>2213172</v>
      </c>
      <c r="C36" s="58">
        <v>2103583</v>
      </c>
      <c r="D36" s="70">
        <f t="shared" si="0"/>
        <v>-4.9516711760315059E-2</v>
      </c>
      <c r="E36" s="44">
        <v>-0.28046460200422452</v>
      </c>
      <c r="F36" s="84">
        <f t="shared" si="1"/>
        <v>2103.5830000000001</v>
      </c>
      <c r="G36" s="93" t="s">
        <v>805</v>
      </c>
      <c r="H36" s="25" t="s">
        <v>735</v>
      </c>
      <c r="I36" s="70"/>
      <c r="J36" s="70"/>
      <c r="L36" s="70"/>
      <c r="M36" s="44"/>
      <c r="N36" s="61"/>
      <c r="P36" s="89"/>
    </row>
    <row r="37" spans="1:16" x14ac:dyDescent="0.25">
      <c r="A37" t="s">
        <v>886</v>
      </c>
      <c r="B37" s="58">
        <v>109953</v>
      </c>
      <c r="C37" s="58">
        <v>98156</v>
      </c>
      <c r="D37" s="70">
        <f t="shared" si="0"/>
        <v>-0.10729129719061781</v>
      </c>
      <c r="E37" s="44">
        <v>-0.20650550368005227</v>
      </c>
      <c r="F37" s="84">
        <f t="shared" si="1"/>
        <v>98.156000000000006</v>
      </c>
      <c r="G37" s="93" t="s">
        <v>858</v>
      </c>
      <c r="H37" s="25" t="s">
        <v>735</v>
      </c>
      <c r="I37" s="70"/>
      <c r="J37" s="70"/>
      <c r="L37" s="70"/>
      <c r="M37" s="44"/>
      <c r="N37" s="61"/>
      <c r="P37" s="89"/>
    </row>
    <row r="38" spans="1:16" x14ac:dyDescent="0.25">
      <c r="A38" t="s">
        <v>887</v>
      </c>
      <c r="B38" s="58">
        <v>194811</v>
      </c>
      <c r="C38" s="58">
        <v>200227</v>
      </c>
      <c r="D38" s="70">
        <f t="shared" si="0"/>
        <v>2.780130485444867E-2</v>
      </c>
      <c r="E38" s="44">
        <v>-0.16037294047325235</v>
      </c>
      <c r="F38" s="84">
        <f t="shared" si="1"/>
        <v>200.227</v>
      </c>
      <c r="H38" s="25" t="s">
        <v>735</v>
      </c>
      <c r="I38" s="70"/>
      <c r="J38" s="70"/>
      <c r="L38" s="70"/>
      <c r="M38" s="44"/>
      <c r="N38" s="61"/>
      <c r="P38" s="89"/>
    </row>
    <row r="39" spans="1:16" x14ac:dyDescent="0.25">
      <c r="A39" t="s">
        <v>888</v>
      </c>
      <c r="B39" s="58">
        <v>1094834</v>
      </c>
      <c r="C39" s="58">
        <v>1170657</v>
      </c>
      <c r="D39" s="70">
        <f t="shared" si="0"/>
        <v>6.9255247827524541E-2</v>
      </c>
      <c r="E39" s="44">
        <v>0.47798842948741527</v>
      </c>
      <c r="F39" s="84">
        <f t="shared" si="1"/>
        <v>1170.6569999999999</v>
      </c>
      <c r="G39" s="93" t="s">
        <v>853</v>
      </c>
      <c r="H39" s="25" t="s">
        <v>735</v>
      </c>
      <c r="I39" s="70"/>
      <c r="J39" s="70"/>
      <c r="L39" s="70"/>
      <c r="M39" s="44"/>
      <c r="N39" s="61"/>
      <c r="P39" s="89"/>
    </row>
    <row r="40" spans="1:16" x14ac:dyDescent="0.25">
      <c r="A40" t="s">
        <v>889</v>
      </c>
      <c r="B40" s="58">
        <v>2433</v>
      </c>
      <c r="C40" s="58">
        <v>2840</v>
      </c>
      <c r="D40" s="70">
        <f t="shared" si="0"/>
        <v>0.16728318947801069</v>
      </c>
      <c r="E40" s="44">
        <v>-11.158888173797767</v>
      </c>
      <c r="F40" s="84">
        <f t="shared" si="1"/>
        <v>2.84</v>
      </c>
      <c r="G40" s="25" t="s">
        <v>858</v>
      </c>
      <c r="H40" s="25" t="s">
        <v>736</v>
      </c>
      <c r="I40" s="70"/>
      <c r="J40" s="70"/>
      <c r="L40" s="70"/>
      <c r="M40" s="44"/>
      <c r="N40" s="61"/>
      <c r="P40" s="89"/>
    </row>
    <row r="41" spans="1:16" x14ac:dyDescent="0.25">
      <c r="A41" t="s">
        <v>890</v>
      </c>
      <c r="B41" s="58">
        <v>14641</v>
      </c>
      <c r="C41" s="58">
        <v>13593</v>
      </c>
      <c r="D41" s="70">
        <f t="shared" si="0"/>
        <v>-7.1579810122259405E-2</v>
      </c>
      <c r="E41" s="44">
        <v>-8.1757429206577399</v>
      </c>
      <c r="F41" s="84">
        <f t="shared" si="1"/>
        <v>13.593</v>
      </c>
      <c r="G41" s="25" t="s">
        <v>858</v>
      </c>
      <c r="H41" s="25" t="s">
        <v>736</v>
      </c>
      <c r="I41" s="70"/>
      <c r="J41" s="70"/>
      <c r="L41" s="70"/>
      <c r="M41" s="44"/>
      <c r="N41" s="61"/>
      <c r="P41" s="89"/>
    </row>
    <row r="42" spans="1:16" x14ac:dyDescent="0.25">
      <c r="A42" t="s">
        <v>891</v>
      </c>
      <c r="B42" s="58">
        <v>10006</v>
      </c>
      <c r="C42" s="58">
        <v>13566</v>
      </c>
      <c r="D42" s="70">
        <f t="shared" si="0"/>
        <v>0.35578652808315009</v>
      </c>
      <c r="E42" s="44">
        <v>-7.4783034018809467</v>
      </c>
      <c r="F42" s="84">
        <f t="shared" si="1"/>
        <v>13.566000000000001</v>
      </c>
      <c r="G42" s="25" t="s">
        <v>858</v>
      </c>
      <c r="H42" s="25" t="s">
        <v>736</v>
      </c>
      <c r="I42" s="70"/>
      <c r="J42" s="70"/>
      <c r="L42" s="70"/>
      <c r="M42" s="44"/>
      <c r="N42" s="61"/>
      <c r="P42" s="89"/>
    </row>
    <row r="43" spans="1:16" x14ac:dyDescent="0.25">
      <c r="A43" t="s">
        <v>892</v>
      </c>
      <c r="B43" s="58">
        <v>53632</v>
      </c>
      <c r="C43" s="58">
        <v>76525</v>
      </c>
      <c r="D43" s="70">
        <f t="shared" si="0"/>
        <v>0.42685337112171839</v>
      </c>
      <c r="E43" s="44">
        <v>-6.9258645420610119</v>
      </c>
      <c r="F43" s="84">
        <f t="shared" si="1"/>
        <v>76.525000000000006</v>
      </c>
      <c r="G43" s="25" t="s">
        <v>858</v>
      </c>
      <c r="H43" s="25" t="s">
        <v>736</v>
      </c>
      <c r="I43" s="70"/>
      <c r="J43" s="70"/>
      <c r="L43" s="70"/>
      <c r="M43" s="44"/>
      <c r="N43" s="61"/>
      <c r="P43" s="89"/>
    </row>
    <row r="44" spans="1:16" x14ac:dyDescent="0.25">
      <c r="A44" t="s">
        <v>893</v>
      </c>
      <c r="B44" s="58">
        <v>2992</v>
      </c>
      <c r="C44" s="58">
        <v>3141</v>
      </c>
      <c r="D44" s="70">
        <f t="shared" si="0"/>
        <v>4.9799465240641709E-2</v>
      </c>
      <c r="E44" s="44">
        <v>-6.2011897866617804</v>
      </c>
      <c r="F44" s="84">
        <f t="shared" si="1"/>
        <v>3.141</v>
      </c>
      <c r="G44" s="25" t="s">
        <v>858</v>
      </c>
      <c r="H44" s="25" t="s">
        <v>736</v>
      </c>
      <c r="I44" s="70"/>
      <c r="J44" s="70"/>
      <c r="L44" s="70"/>
      <c r="M44" s="44"/>
      <c r="N44" s="61"/>
      <c r="P44" s="89"/>
    </row>
    <row r="45" spans="1:16" x14ac:dyDescent="0.25">
      <c r="A45" t="s">
        <v>894</v>
      </c>
      <c r="B45" s="58">
        <v>168532</v>
      </c>
      <c r="C45" s="58">
        <v>232905</v>
      </c>
      <c r="D45" s="70">
        <f t="shared" si="0"/>
        <v>0.38196306932808011</v>
      </c>
      <c r="E45" s="44">
        <v>-6.1788024067510339</v>
      </c>
      <c r="F45" s="84">
        <f t="shared" si="1"/>
        <v>232.905</v>
      </c>
      <c r="G45" s="25" t="s">
        <v>858</v>
      </c>
      <c r="H45" s="25" t="s">
        <v>736</v>
      </c>
      <c r="I45" s="70"/>
      <c r="J45" s="70"/>
      <c r="L45" s="70"/>
      <c r="M45" s="44"/>
      <c r="N45" s="61"/>
      <c r="P45" s="89"/>
    </row>
    <row r="46" spans="1:16" x14ac:dyDescent="0.25">
      <c r="A46" t="s">
        <v>895</v>
      </c>
      <c r="B46" s="58">
        <v>157450</v>
      </c>
      <c r="C46" s="58">
        <v>364850</v>
      </c>
      <c r="D46" s="70">
        <f t="shared" si="0"/>
        <v>1.317243569387107</v>
      </c>
      <c r="E46" s="44">
        <v>-5.8167126448492432</v>
      </c>
      <c r="F46" s="84">
        <f t="shared" si="1"/>
        <v>364.85</v>
      </c>
      <c r="G46" s="25" t="s">
        <v>858</v>
      </c>
      <c r="H46" s="25" t="s">
        <v>736</v>
      </c>
      <c r="I46" s="70"/>
      <c r="J46" s="70"/>
      <c r="L46" s="70"/>
      <c r="M46" s="44"/>
      <c r="N46" s="61"/>
      <c r="P46" s="89"/>
    </row>
    <row r="47" spans="1:16" x14ac:dyDescent="0.25">
      <c r="A47" t="s">
        <v>896</v>
      </c>
      <c r="B47" s="58">
        <v>24586</v>
      </c>
      <c r="C47" s="58">
        <v>42469</v>
      </c>
      <c r="D47" s="70">
        <f t="shared" si="0"/>
        <v>0.72736516716830713</v>
      </c>
      <c r="E47" s="44">
        <v>-5.1595045413304987</v>
      </c>
      <c r="F47" s="84">
        <f t="shared" si="1"/>
        <v>42.469000000000001</v>
      </c>
      <c r="G47" s="25" t="s">
        <v>858</v>
      </c>
      <c r="H47" s="25" t="s">
        <v>736</v>
      </c>
      <c r="I47" s="70"/>
      <c r="J47" s="70"/>
      <c r="L47" s="70"/>
      <c r="M47" s="44"/>
      <c r="N47" s="61"/>
      <c r="P47" s="89"/>
    </row>
    <row r="48" spans="1:16" x14ac:dyDescent="0.25">
      <c r="A48" t="s">
        <v>897</v>
      </c>
      <c r="B48" s="58">
        <v>14519</v>
      </c>
      <c r="C48" s="58">
        <v>15905</v>
      </c>
      <c r="D48" s="70">
        <f t="shared" si="0"/>
        <v>9.5461119911839656E-2</v>
      </c>
      <c r="E48" s="44">
        <v>-5.08625205682835</v>
      </c>
      <c r="F48" s="84">
        <f t="shared" si="1"/>
        <v>15.904999999999999</v>
      </c>
      <c r="G48" s="25" t="s">
        <v>858</v>
      </c>
      <c r="H48" s="25" t="s">
        <v>736</v>
      </c>
      <c r="I48" s="70"/>
      <c r="J48" s="70"/>
      <c r="L48" s="70"/>
      <c r="M48" s="44"/>
      <c r="N48" s="61"/>
      <c r="P48" s="89"/>
    </row>
    <row r="49" spans="1:16" x14ac:dyDescent="0.25">
      <c r="A49" t="s">
        <v>898</v>
      </c>
      <c r="B49" s="58">
        <v>75742</v>
      </c>
      <c r="C49" s="58">
        <v>119974</v>
      </c>
      <c r="D49" s="70">
        <f t="shared" si="0"/>
        <v>0.58398246679517307</v>
      </c>
      <c r="E49" s="44">
        <v>-5.0338085706280502</v>
      </c>
      <c r="F49" s="84">
        <f t="shared" si="1"/>
        <v>119.974</v>
      </c>
      <c r="G49" s="25" t="s">
        <v>858</v>
      </c>
      <c r="H49" s="25" t="s">
        <v>736</v>
      </c>
      <c r="I49" s="70"/>
      <c r="J49" s="70"/>
      <c r="L49" s="70"/>
      <c r="M49" s="44"/>
      <c r="N49" s="61"/>
      <c r="P49" s="89"/>
    </row>
    <row r="50" spans="1:16" x14ac:dyDescent="0.25">
      <c r="A50" t="s">
        <v>899</v>
      </c>
      <c r="B50" s="58">
        <v>6051</v>
      </c>
      <c r="C50" s="58">
        <v>6927</v>
      </c>
      <c r="D50" s="70">
        <f t="shared" si="0"/>
        <v>0.14476945959345563</v>
      </c>
      <c r="E50" s="44">
        <v>-4.8841514579246397</v>
      </c>
      <c r="F50" s="84">
        <f t="shared" si="1"/>
        <v>6.9269999999999996</v>
      </c>
      <c r="G50" s="25" t="s">
        <v>858</v>
      </c>
      <c r="H50" s="25" t="s">
        <v>736</v>
      </c>
      <c r="I50" s="70"/>
      <c r="J50" s="70"/>
      <c r="L50" s="70"/>
      <c r="M50" s="44"/>
      <c r="N50" s="61"/>
      <c r="P50" s="89"/>
    </row>
    <row r="51" spans="1:16" x14ac:dyDescent="0.25">
      <c r="A51" t="s">
        <v>900</v>
      </c>
      <c r="B51" s="58">
        <v>18771</v>
      </c>
      <c r="C51" s="58">
        <v>20676</v>
      </c>
      <c r="D51" s="70">
        <f t="shared" si="0"/>
        <v>0.10148633530445901</v>
      </c>
      <c r="E51" s="44">
        <v>-4.8592887524219872</v>
      </c>
      <c r="F51" s="84">
        <f t="shared" si="1"/>
        <v>20.675999999999998</v>
      </c>
      <c r="G51" s="25" t="s">
        <v>853</v>
      </c>
      <c r="H51" s="25" t="s">
        <v>736</v>
      </c>
      <c r="I51" s="70"/>
      <c r="J51" s="70"/>
      <c r="L51" s="70"/>
      <c r="M51" s="44"/>
      <c r="N51" s="61"/>
      <c r="P51" s="89"/>
    </row>
    <row r="52" spans="1:16" x14ac:dyDescent="0.25">
      <c r="A52" t="s">
        <v>901</v>
      </c>
      <c r="B52" s="58">
        <v>125572</v>
      </c>
      <c r="C52" s="58">
        <v>158365</v>
      </c>
      <c r="D52" s="70">
        <f t="shared" si="0"/>
        <v>0.26114898225719108</v>
      </c>
      <c r="E52" s="44">
        <v>-4.7328145046422243</v>
      </c>
      <c r="F52" s="84">
        <f t="shared" si="1"/>
        <v>158.36500000000001</v>
      </c>
      <c r="G52" s="25" t="s">
        <v>858</v>
      </c>
      <c r="H52" s="25" t="s">
        <v>736</v>
      </c>
      <c r="I52" s="70"/>
      <c r="J52" s="70"/>
      <c r="L52" s="70"/>
      <c r="M52" s="44"/>
      <c r="N52" s="61"/>
      <c r="P52" s="89"/>
    </row>
    <row r="53" spans="1:16" x14ac:dyDescent="0.25">
      <c r="A53" t="s">
        <v>902</v>
      </c>
      <c r="B53" s="58">
        <v>5538</v>
      </c>
      <c r="C53" s="58">
        <v>5452</v>
      </c>
      <c r="D53" s="70">
        <f t="shared" si="0"/>
        <v>-1.5529071867100036E-2</v>
      </c>
      <c r="E53" s="44">
        <v>-4.5688657970005</v>
      </c>
      <c r="F53" s="84">
        <f t="shared" si="1"/>
        <v>5.452</v>
      </c>
      <c r="G53" s="25" t="s">
        <v>858</v>
      </c>
      <c r="H53" s="25" t="s">
        <v>736</v>
      </c>
      <c r="I53" s="70"/>
      <c r="J53" s="70"/>
      <c r="L53" s="70"/>
      <c r="M53" s="44"/>
      <c r="N53" s="61"/>
      <c r="P53" s="89"/>
    </row>
    <row r="54" spans="1:16" x14ac:dyDescent="0.25">
      <c r="A54" t="s">
        <v>903</v>
      </c>
      <c r="B54" s="58">
        <v>6834</v>
      </c>
      <c r="C54" s="58">
        <v>5787</v>
      </c>
      <c r="D54" s="70">
        <f t="shared" si="0"/>
        <v>-0.15320456540825286</v>
      </c>
      <c r="E54" s="44">
        <v>-4.559815186170967</v>
      </c>
      <c r="F54" s="84">
        <f t="shared" si="1"/>
        <v>5.7869999999999999</v>
      </c>
      <c r="G54" s="25" t="s">
        <v>858</v>
      </c>
      <c r="H54" s="25" t="s">
        <v>736</v>
      </c>
      <c r="I54" s="70"/>
      <c r="J54" s="70"/>
      <c r="L54" s="70"/>
      <c r="M54" s="44"/>
      <c r="N54" s="61"/>
      <c r="P54" s="89"/>
    </row>
    <row r="55" spans="1:16" x14ac:dyDescent="0.25">
      <c r="A55" t="s">
        <v>904</v>
      </c>
      <c r="B55" s="58">
        <v>147100</v>
      </c>
      <c r="C55" s="58">
        <v>284777</v>
      </c>
      <c r="D55" s="70">
        <f t="shared" si="0"/>
        <v>0.93594153636981647</v>
      </c>
      <c r="E55" s="44">
        <v>-4.4156663733730896</v>
      </c>
      <c r="F55" s="84">
        <f t="shared" si="1"/>
        <v>284.77699999999999</v>
      </c>
      <c r="G55" s="25" t="s">
        <v>858</v>
      </c>
      <c r="H55" s="25" t="s">
        <v>736</v>
      </c>
      <c r="I55" s="70"/>
      <c r="J55" s="70"/>
      <c r="L55" s="70"/>
      <c r="M55" s="44"/>
      <c r="N55" s="61"/>
      <c r="P55" s="89"/>
    </row>
    <row r="56" spans="1:16" x14ac:dyDescent="0.25">
      <c r="A56" t="s">
        <v>905</v>
      </c>
      <c r="B56" s="58">
        <v>61886</v>
      </c>
      <c r="C56" s="58">
        <v>63921</v>
      </c>
      <c r="D56" s="70">
        <f t="shared" si="0"/>
        <v>3.2883043014575189E-2</v>
      </c>
      <c r="E56" s="44">
        <v>-4.3390450878176239</v>
      </c>
      <c r="F56" s="84">
        <f t="shared" si="1"/>
        <v>63.920999999999999</v>
      </c>
      <c r="G56" s="25" t="s">
        <v>858</v>
      </c>
      <c r="H56" s="25" t="s">
        <v>736</v>
      </c>
    </row>
    <row r="57" spans="1:16" x14ac:dyDescent="0.25">
      <c r="A57" t="s">
        <v>906</v>
      </c>
      <c r="B57" s="58">
        <v>980093</v>
      </c>
      <c r="C57" s="58">
        <v>1371779</v>
      </c>
      <c r="D57" s="70">
        <f t="shared" si="0"/>
        <v>0.39964166665816409</v>
      </c>
      <c r="E57" s="44">
        <v>-4.2707566826851782</v>
      </c>
      <c r="F57" s="84">
        <f t="shared" si="1"/>
        <v>1371.779</v>
      </c>
      <c r="G57" s="25" t="s">
        <v>858</v>
      </c>
      <c r="H57" s="25" t="s">
        <v>736</v>
      </c>
    </row>
    <row r="58" spans="1:16" x14ac:dyDescent="0.25">
      <c r="A58" t="s">
        <v>907</v>
      </c>
      <c r="B58" s="58">
        <v>83042</v>
      </c>
      <c r="C58" s="58">
        <v>83917</v>
      </c>
      <c r="D58" s="70">
        <f t="shared" si="0"/>
        <v>1.0536836781387731E-2</v>
      </c>
      <c r="E58" s="44">
        <v>-4.1042966162114496</v>
      </c>
      <c r="F58" s="84">
        <f t="shared" si="1"/>
        <v>83.917000000000002</v>
      </c>
      <c r="G58" s="25" t="s">
        <v>858</v>
      </c>
      <c r="H58" s="25" t="s">
        <v>736</v>
      </c>
      <c r="I58" s="28"/>
      <c r="J58" s="28"/>
      <c r="L58" s="28"/>
    </row>
    <row r="59" spans="1:16" x14ac:dyDescent="0.25">
      <c r="A59" t="s">
        <v>908</v>
      </c>
      <c r="B59" s="58">
        <v>8405</v>
      </c>
      <c r="C59" s="58">
        <v>10267</v>
      </c>
      <c r="D59" s="70">
        <f t="shared" si="0"/>
        <v>0.22153480071386081</v>
      </c>
      <c r="E59" s="44">
        <v>-4.0727518860014378</v>
      </c>
      <c r="F59" s="84">
        <f t="shared" si="1"/>
        <v>10.266999999999999</v>
      </c>
      <c r="G59" s="25" t="s">
        <v>853</v>
      </c>
      <c r="H59" s="25" t="s">
        <v>736</v>
      </c>
      <c r="I59" s="28"/>
      <c r="J59" s="28"/>
      <c r="L59" s="28"/>
    </row>
    <row r="60" spans="1:16" x14ac:dyDescent="0.25">
      <c r="A60" t="s">
        <v>909</v>
      </c>
      <c r="B60" s="58">
        <v>4774</v>
      </c>
      <c r="C60" s="58">
        <v>3766</v>
      </c>
      <c r="D60" s="70">
        <f t="shared" si="0"/>
        <v>-0.21114369501466276</v>
      </c>
      <c r="E60" s="44">
        <v>-3.9877953104336665</v>
      </c>
      <c r="F60" s="84">
        <f t="shared" si="1"/>
        <v>3.766</v>
      </c>
      <c r="G60" s="25" t="s">
        <v>858</v>
      </c>
      <c r="H60" s="25" t="s">
        <v>736</v>
      </c>
      <c r="I60" s="28"/>
      <c r="J60" s="28"/>
      <c r="L60" s="28"/>
    </row>
    <row r="61" spans="1:16" x14ac:dyDescent="0.25">
      <c r="A61" t="s">
        <v>910</v>
      </c>
      <c r="B61" s="58">
        <v>71327</v>
      </c>
      <c r="C61" s="58">
        <v>110214</v>
      </c>
      <c r="D61" s="70">
        <f t="shared" si="0"/>
        <v>0.54519326482257768</v>
      </c>
      <c r="E61" s="44">
        <v>-3.9266691486062122</v>
      </c>
      <c r="F61" s="84">
        <f t="shared" si="1"/>
        <v>110.214</v>
      </c>
      <c r="G61" s="25" t="s">
        <v>853</v>
      </c>
      <c r="H61" s="25" t="s">
        <v>736</v>
      </c>
      <c r="I61" s="28"/>
      <c r="J61" s="28"/>
      <c r="L61" s="28"/>
    </row>
    <row r="62" spans="1:16" x14ac:dyDescent="0.25">
      <c r="A62" t="s">
        <v>911</v>
      </c>
      <c r="B62" s="58">
        <v>81264</v>
      </c>
      <c r="C62" s="58">
        <v>106906</v>
      </c>
      <c r="D62" s="70">
        <f t="shared" si="0"/>
        <v>0.31553947627485723</v>
      </c>
      <c r="E62" s="44">
        <v>-3.9034330505758934</v>
      </c>
      <c r="F62" s="84">
        <f t="shared" si="1"/>
        <v>106.90600000000001</v>
      </c>
      <c r="G62" s="25" t="s">
        <v>858</v>
      </c>
      <c r="H62" s="25" t="s">
        <v>736</v>
      </c>
      <c r="I62" s="28"/>
      <c r="J62" s="28"/>
      <c r="L62" s="28"/>
    </row>
    <row r="63" spans="1:16" x14ac:dyDescent="0.25">
      <c r="A63" t="s">
        <v>912</v>
      </c>
      <c r="B63" s="58">
        <v>179520</v>
      </c>
      <c r="C63" s="58">
        <v>244791</v>
      </c>
      <c r="D63" s="70">
        <f t="shared" si="0"/>
        <v>0.36358622994652406</v>
      </c>
      <c r="E63" s="44">
        <v>-3.8070325702047807</v>
      </c>
      <c r="F63" s="84">
        <f t="shared" si="1"/>
        <v>244.791</v>
      </c>
      <c r="G63" s="25" t="s">
        <v>853</v>
      </c>
      <c r="H63" s="25" t="s">
        <v>736</v>
      </c>
    </row>
    <row r="64" spans="1:16" x14ac:dyDescent="0.25">
      <c r="A64" t="s">
        <v>913</v>
      </c>
      <c r="B64" s="58">
        <v>258536</v>
      </c>
      <c r="C64" s="58">
        <v>344394</v>
      </c>
      <c r="D64" s="70">
        <f t="shared" si="0"/>
        <v>0.33209301605965902</v>
      </c>
      <c r="E64" s="44">
        <v>-3.7136366561579202</v>
      </c>
      <c r="F64" s="84">
        <f t="shared" si="1"/>
        <v>344.39400000000001</v>
      </c>
      <c r="G64" s="25" t="s">
        <v>858</v>
      </c>
      <c r="H64" s="25" t="s">
        <v>736</v>
      </c>
    </row>
    <row r="65" spans="1:12" x14ac:dyDescent="0.25">
      <c r="A65" t="s">
        <v>914</v>
      </c>
      <c r="B65" s="58">
        <v>2289</v>
      </c>
      <c r="C65" s="58">
        <v>3745</v>
      </c>
      <c r="D65" s="70">
        <f t="shared" si="0"/>
        <v>0.63608562691131498</v>
      </c>
      <c r="E65" s="44">
        <v>-3.6517242552547557</v>
      </c>
      <c r="F65" s="84">
        <f t="shared" si="1"/>
        <v>3.7450000000000001</v>
      </c>
      <c r="G65" s="25" t="s">
        <v>858</v>
      </c>
      <c r="H65" s="25" t="s">
        <v>736</v>
      </c>
    </row>
    <row r="66" spans="1:12" x14ac:dyDescent="0.25">
      <c r="A66" t="s">
        <v>915</v>
      </c>
      <c r="B66" s="58">
        <v>10462</v>
      </c>
      <c r="C66" s="58">
        <v>10082</v>
      </c>
      <c r="D66" s="70">
        <f t="shared" si="0"/>
        <v>-3.6321926973809981E-2</v>
      </c>
      <c r="E66" s="44">
        <v>-3.4552305106513774</v>
      </c>
      <c r="F66" s="84">
        <f t="shared" si="1"/>
        <v>10.082000000000001</v>
      </c>
      <c r="G66" s="25" t="s">
        <v>858</v>
      </c>
      <c r="H66" s="25" t="s">
        <v>736</v>
      </c>
      <c r="I66" s="28"/>
      <c r="J66" s="28"/>
      <c r="L66" s="28"/>
    </row>
    <row r="67" spans="1:12" x14ac:dyDescent="0.25">
      <c r="A67" t="s">
        <v>916</v>
      </c>
      <c r="B67" s="58">
        <v>92255</v>
      </c>
      <c r="C67" s="58">
        <v>118930</v>
      </c>
      <c r="D67" s="70">
        <f t="shared" si="0"/>
        <v>0.28914421982548372</v>
      </c>
      <c r="E67" s="44">
        <v>-3.4370784598519961</v>
      </c>
      <c r="F67" s="84">
        <f t="shared" si="1"/>
        <v>118.93</v>
      </c>
      <c r="G67" s="25" t="s">
        <v>853</v>
      </c>
      <c r="H67" s="25" t="s">
        <v>736</v>
      </c>
    </row>
    <row r="68" spans="1:12" x14ac:dyDescent="0.25">
      <c r="A68" t="s">
        <v>917</v>
      </c>
      <c r="B68" s="58">
        <v>11526</v>
      </c>
      <c r="C68" s="58">
        <v>11870</v>
      </c>
      <c r="D68" s="70">
        <f t="shared" si="0"/>
        <v>2.9845566545202151E-2</v>
      </c>
      <c r="E68" s="44">
        <v>-3.4260859612614318</v>
      </c>
      <c r="F68" s="84">
        <f t="shared" si="1"/>
        <v>11.87</v>
      </c>
      <c r="G68" s="25" t="s">
        <v>858</v>
      </c>
      <c r="H68" s="25" t="s">
        <v>736</v>
      </c>
    </row>
    <row r="69" spans="1:12" x14ac:dyDescent="0.25">
      <c r="A69" t="s">
        <v>918</v>
      </c>
      <c r="B69" s="58">
        <v>32122</v>
      </c>
      <c r="C69" s="58">
        <v>29731</v>
      </c>
      <c r="D69" s="70">
        <f t="shared" si="0"/>
        <v>-7.4434966689496299E-2</v>
      </c>
      <c r="E69" s="44">
        <v>-3.3872875468587722</v>
      </c>
      <c r="F69" s="84">
        <f t="shared" si="1"/>
        <v>29.731000000000002</v>
      </c>
      <c r="G69" s="25" t="s">
        <v>858</v>
      </c>
      <c r="H69" s="25" t="s">
        <v>736</v>
      </c>
    </row>
    <row r="70" spans="1:12" x14ac:dyDescent="0.25">
      <c r="A70" t="s">
        <v>919</v>
      </c>
      <c r="B70" s="58">
        <v>22263</v>
      </c>
      <c r="C70" s="58">
        <v>36650</v>
      </c>
      <c r="D70" s="70">
        <f t="shared" ref="D70:D133" si="2">(C70-B70)/B70</f>
        <v>0.64622916947401521</v>
      </c>
      <c r="E70" s="44">
        <v>-3.3633079685851754</v>
      </c>
      <c r="F70" s="84">
        <f t="shared" ref="F70:F133" si="3">C70/1000</f>
        <v>36.65</v>
      </c>
      <c r="G70" s="25" t="s">
        <v>853</v>
      </c>
      <c r="H70" s="25" t="s">
        <v>736</v>
      </c>
    </row>
    <row r="71" spans="1:12" x14ac:dyDescent="0.25">
      <c r="A71" t="s">
        <v>920</v>
      </c>
      <c r="B71" s="58">
        <v>12287</v>
      </c>
      <c r="C71" s="58">
        <v>11943</v>
      </c>
      <c r="D71" s="70">
        <f t="shared" si="2"/>
        <v>-2.7997070074062016E-2</v>
      </c>
      <c r="E71" s="44">
        <v>-3.3248533110921681</v>
      </c>
      <c r="F71" s="84">
        <f t="shared" si="3"/>
        <v>11.943</v>
      </c>
      <c r="G71" s="25" t="s">
        <v>858</v>
      </c>
      <c r="H71" s="25" t="s">
        <v>736</v>
      </c>
    </row>
    <row r="72" spans="1:12" x14ac:dyDescent="0.25">
      <c r="A72" t="s">
        <v>921</v>
      </c>
      <c r="B72" s="58">
        <v>26157</v>
      </c>
      <c r="C72" s="58">
        <v>24362</v>
      </c>
      <c r="D72" s="70">
        <f t="shared" si="2"/>
        <v>-6.8624077684749776E-2</v>
      </c>
      <c r="E72" s="44">
        <v>-3.313103191220339</v>
      </c>
      <c r="F72" s="84">
        <f t="shared" si="3"/>
        <v>24.361999999999998</v>
      </c>
      <c r="G72" s="25" t="s">
        <v>858</v>
      </c>
      <c r="H72" s="25" t="s">
        <v>736</v>
      </c>
    </row>
    <row r="73" spans="1:12" x14ac:dyDescent="0.25">
      <c r="A73" t="s">
        <v>922</v>
      </c>
      <c r="B73" s="58">
        <v>2245</v>
      </c>
      <c r="C73" s="58">
        <v>2272</v>
      </c>
      <c r="D73" s="70">
        <f t="shared" si="2"/>
        <v>1.2026726057906459E-2</v>
      </c>
      <c r="E73" s="44">
        <v>-3.3008707347092852</v>
      </c>
      <c r="F73" s="84">
        <f t="shared" si="3"/>
        <v>2.2719999999999998</v>
      </c>
      <c r="G73" s="25" t="s">
        <v>858</v>
      </c>
      <c r="H73" s="25" t="s">
        <v>736</v>
      </c>
    </row>
    <row r="74" spans="1:12" x14ac:dyDescent="0.25">
      <c r="A74" t="s">
        <v>923</v>
      </c>
      <c r="B74" s="58">
        <v>81102</v>
      </c>
      <c r="C74" s="58">
        <v>106314</v>
      </c>
      <c r="D74" s="70">
        <f t="shared" si="2"/>
        <v>0.31086779610860399</v>
      </c>
      <c r="E74" s="44">
        <v>-3.2463582841585001</v>
      </c>
      <c r="F74" s="84">
        <f t="shared" si="3"/>
        <v>106.31399999999999</v>
      </c>
      <c r="G74" s="25" t="s">
        <v>858</v>
      </c>
      <c r="H74" s="25" t="s">
        <v>736</v>
      </c>
    </row>
    <row r="75" spans="1:12" x14ac:dyDescent="0.25">
      <c r="A75" t="s">
        <v>924</v>
      </c>
      <c r="B75" s="58">
        <v>5122</v>
      </c>
      <c r="C75" s="58">
        <v>4800</v>
      </c>
      <c r="D75" s="70">
        <f t="shared" si="2"/>
        <v>-6.2866067942210072E-2</v>
      </c>
      <c r="E75" s="44">
        <v>-3.2104599608449664</v>
      </c>
      <c r="F75" s="84">
        <f t="shared" si="3"/>
        <v>4.8</v>
      </c>
      <c r="G75" s="25" t="s">
        <v>858</v>
      </c>
      <c r="H75" s="25" t="s">
        <v>736</v>
      </c>
    </row>
    <row r="76" spans="1:12" x14ac:dyDescent="0.25">
      <c r="A76" t="s">
        <v>925</v>
      </c>
      <c r="B76" s="58">
        <v>115117</v>
      </c>
      <c r="C76" s="58">
        <v>160268</v>
      </c>
      <c r="D76" s="70">
        <f t="shared" si="2"/>
        <v>0.39221835176385766</v>
      </c>
      <c r="E76" s="44">
        <v>-3.18940348751015</v>
      </c>
      <c r="F76" s="84">
        <f t="shared" si="3"/>
        <v>160.268</v>
      </c>
      <c r="G76" s="25" t="s">
        <v>853</v>
      </c>
      <c r="H76" s="25" t="s">
        <v>736</v>
      </c>
    </row>
    <row r="77" spans="1:12" x14ac:dyDescent="0.25">
      <c r="A77" t="s">
        <v>926</v>
      </c>
      <c r="B77" s="58">
        <v>8955</v>
      </c>
      <c r="C77" s="58">
        <v>11184</v>
      </c>
      <c r="D77" s="70">
        <f t="shared" si="2"/>
        <v>0.24891122278056951</v>
      </c>
      <c r="E77" s="44">
        <v>-3.1432770021747398</v>
      </c>
      <c r="F77" s="84">
        <f t="shared" si="3"/>
        <v>11.183999999999999</v>
      </c>
      <c r="G77" s="25" t="s">
        <v>858</v>
      </c>
      <c r="H77" s="25" t="s">
        <v>736</v>
      </c>
    </row>
    <row r="78" spans="1:12" x14ac:dyDescent="0.25">
      <c r="A78" t="s">
        <v>927</v>
      </c>
      <c r="B78" s="58">
        <v>3926</v>
      </c>
      <c r="C78" s="58">
        <v>4287</v>
      </c>
      <c r="D78" s="70">
        <f t="shared" si="2"/>
        <v>9.1951095262353538E-2</v>
      </c>
      <c r="E78" s="44">
        <v>-3.0469195681531396</v>
      </c>
      <c r="F78" s="84">
        <f t="shared" si="3"/>
        <v>4.2869999999999999</v>
      </c>
      <c r="G78" s="25" t="s">
        <v>858</v>
      </c>
      <c r="H78" s="25" t="s">
        <v>736</v>
      </c>
    </row>
    <row r="79" spans="1:12" x14ac:dyDescent="0.25">
      <c r="A79" t="s">
        <v>928</v>
      </c>
      <c r="B79" s="58">
        <v>16178</v>
      </c>
      <c r="C79" s="58">
        <v>16900</v>
      </c>
      <c r="D79" s="70">
        <f t="shared" si="2"/>
        <v>4.4628507850166893E-2</v>
      </c>
      <c r="E79" s="44">
        <v>-2.983172595747746</v>
      </c>
      <c r="F79" s="84">
        <f t="shared" si="3"/>
        <v>16.899999999999999</v>
      </c>
      <c r="G79" s="25" t="s">
        <v>858</v>
      </c>
      <c r="H79" s="25" t="s">
        <v>736</v>
      </c>
    </row>
    <row r="80" spans="1:12" x14ac:dyDescent="0.25">
      <c r="A80" t="s">
        <v>929</v>
      </c>
      <c r="B80" s="58">
        <v>17328</v>
      </c>
      <c r="C80" s="58">
        <v>16617</v>
      </c>
      <c r="D80" s="70">
        <f t="shared" si="2"/>
        <v>-4.1031855955678667E-2</v>
      </c>
      <c r="E80" s="44">
        <v>-2.9731419432573336</v>
      </c>
      <c r="F80" s="84">
        <f t="shared" si="3"/>
        <v>16.617000000000001</v>
      </c>
      <c r="G80" s="25" t="s">
        <v>858</v>
      </c>
      <c r="H80" s="25" t="s">
        <v>736</v>
      </c>
    </row>
    <row r="81" spans="1:8" x14ac:dyDescent="0.25">
      <c r="A81" t="s">
        <v>930</v>
      </c>
      <c r="B81" s="58">
        <v>5702</v>
      </c>
      <c r="C81" s="58">
        <v>7818</v>
      </c>
      <c r="D81" s="70">
        <f t="shared" si="2"/>
        <v>0.3710978603998597</v>
      </c>
      <c r="E81" s="44">
        <v>-2.9467326470558017</v>
      </c>
      <c r="F81" s="84">
        <f t="shared" si="3"/>
        <v>7.8179999999999996</v>
      </c>
      <c r="G81" s="25" t="s">
        <v>853</v>
      </c>
      <c r="H81" s="25" t="s">
        <v>736</v>
      </c>
    </row>
    <row r="82" spans="1:8" x14ac:dyDescent="0.25">
      <c r="A82" t="s">
        <v>931</v>
      </c>
      <c r="B82" s="58">
        <v>112726</v>
      </c>
      <c r="C82" s="58">
        <v>142172</v>
      </c>
      <c r="D82" s="70">
        <f t="shared" si="2"/>
        <v>0.26121746535847984</v>
      </c>
      <c r="E82" s="44">
        <v>-2.9266927187992131</v>
      </c>
      <c r="F82" s="84">
        <f t="shared" si="3"/>
        <v>142.172</v>
      </c>
      <c r="G82" s="25" t="s">
        <v>858</v>
      </c>
      <c r="H82" s="25" t="s">
        <v>736</v>
      </c>
    </row>
    <row r="83" spans="1:8" x14ac:dyDescent="0.25">
      <c r="A83" t="s">
        <v>932</v>
      </c>
      <c r="B83" s="58">
        <v>40367</v>
      </c>
      <c r="C83" s="58">
        <v>35946</v>
      </c>
      <c r="D83" s="70">
        <f t="shared" si="2"/>
        <v>-0.10952015259989595</v>
      </c>
      <c r="E83" s="44">
        <v>-2.9251128936175697</v>
      </c>
      <c r="F83" s="84">
        <f t="shared" si="3"/>
        <v>35.945999999999998</v>
      </c>
      <c r="G83" s="25" t="s">
        <v>858</v>
      </c>
      <c r="H83" s="25" t="s">
        <v>736</v>
      </c>
    </row>
    <row r="84" spans="1:8" x14ac:dyDescent="0.25">
      <c r="A84" t="s">
        <v>933</v>
      </c>
      <c r="B84" s="58">
        <v>877</v>
      </c>
      <c r="C84" s="58">
        <v>580</v>
      </c>
      <c r="D84" s="70">
        <f t="shared" si="2"/>
        <v>-0.33865450399087799</v>
      </c>
      <c r="E84" s="44">
        <v>-2.9157593765711063</v>
      </c>
      <c r="F84" s="84">
        <f t="shared" si="3"/>
        <v>0.57999999999999996</v>
      </c>
      <c r="G84" s="25" t="s">
        <v>858</v>
      </c>
      <c r="H84" s="25" t="s">
        <v>736</v>
      </c>
    </row>
    <row r="85" spans="1:8" x14ac:dyDescent="0.25">
      <c r="A85" t="s">
        <v>934</v>
      </c>
      <c r="B85" s="58">
        <v>5230</v>
      </c>
      <c r="C85" s="58">
        <v>5268</v>
      </c>
      <c r="D85" s="70">
        <f t="shared" si="2"/>
        <v>7.265774378585086E-3</v>
      </c>
      <c r="E85" s="44">
        <v>-2.9047560122607123</v>
      </c>
      <c r="F85" s="84">
        <f t="shared" si="3"/>
        <v>5.2679999999999998</v>
      </c>
      <c r="G85" s="25" t="s">
        <v>858</v>
      </c>
      <c r="H85" s="25" t="s">
        <v>736</v>
      </c>
    </row>
    <row r="86" spans="1:8" x14ac:dyDescent="0.25">
      <c r="A86" t="s">
        <v>935</v>
      </c>
      <c r="B86" s="58">
        <v>55485</v>
      </c>
      <c r="C86" s="58">
        <v>66179</v>
      </c>
      <c r="D86" s="70">
        <f t="shared" si="2"/>
        <v>0.19273677570514552</v>
      </c>
      <c r="E86" s="44">
        <v>-2.8875547788374352</v>
      </c>
      <c r="F86" s="84">
        <f t="shared" si="3"/>
        <v>66.179000000000002</v>
      </c>
      <c r="G86" s="25" t="s">
        <v>858</v>
      </c>
      <c r="H86" s="25" t="s">
        <v>736</v>
      </c>
    </row>
    <row r="87" spans="1:8" x14ac:dyDescent="0.25">
      <c r="A87" t="s">
        <v>936</v>
      </c>
      <c r="B87" s="58">
        <v>222940</v>
      </c>
      <c r="C87" s="58">
        <v>231691</v>
      </c>
      <c r="D87" s="70">
        <f t="shared" si="2"/>
        <v>3.9252713734637124E-2</v>
      </c>
      <c r="E87" s="44">
        <v>-2.8734742585801385</v>
      </c>
      <c r="F87" s="84">
        <f t="shared" si="3"/>
        <v>231.691</v>
      </c>
      <c r="G87" s="25" t="s">
        <v>858</v>
      </c>
      <c r="H87" s="25" t="s">
        <v>736</v>
      </c>
    </row>
    <row r="88" spans="1:8" x14ac:dyDescent="0.25">
      <c r="A88" t="s">
        <v>937</v>
      </c>
      <c r="B88" s="58">
        <v>15990</v>
      </c>
      <c r="C88" s="58">
        <v>11344</v>
      </c>
      <c r="D88" s="70">
        <f t="shared" si="2"/>
        <v>-0.29055659787367105</v>
      </c>
      <c r="E88" s="44">
        <v>-2.8285571645421346</v>
      </c>
      <c r="F88" s="84">
        <f t="shared" si="3"/>
        <v>11.343999999999999</v>
      </c>
      <c r="G88" s="25" t="s">
        <v>858</v>
      </c>
      <c r="H88" s="25" t="s">
        <v>736</v>
      </c>
    </row>
    <row r="89" spans="1:8" x14ac:dyDescent="0.25">
      <c r="A89" t="s">
        <v>938</v>
      </c>
      <c r="B89" s="58">
        <v>96374</v>
      </c>
      <c r="C89" s="58">
        <v>105805</v>
      </c>
      <c r="D89" s="70">
        <f t="shared" si="2"/>
        <v>9.7858343536638512E-2</v>
      </c>
      <c r="E89" s="44">
        <v>-2.7875142857288857</v>
      </c>
      <c r="F89" s="84">
        <f t="shared" si="3"/>
        <v>105.80500000000001</v>
      </c>
      <c r="G89" s="25" t="s">
        <v>858</v>
      </c>
      <c r="H89" s="25" t="s">
        <v>736</v>
      </c>
    </row>
    <row r="90" spans="1:8" x14ac:dyDescent="0.25">
      <c r="A90" t="s">
        <v>939</v>
      </c>
      <c r="B90" s="58">
        <v>193672</v>
      </c>
      <c r="C90" s="58">
        <v>211588</v>
      </c>
      <c r="D90" s="70">
        <f t="shared" si="2"/>
        <v>9.2506918914453298E-2</v>
      </c>
      <c r="E90" s="44">
        <v>-2.7762525274067542</v>
      </c>
      <c r="F90" s="84">
        <f t="shared" si="3"/>
        <v>211.58799999999999</v>
      </c>
      <c r="G90" s="25" t="s">
        <v>858</v>
      </c>
      <c r="H90" s="25" t="s">
        <v>736</v>
      </c>
    </row>
    <row r="91" spans="1:8" x14ac:dyDescent="0.25">
      <c r="A91" t="s">
        <v>940</v>
      </c>
      <c r="B91" s="58">
        <v>68137</v>
      </c>
      <c r="C91" s="58">
        <v>77843</v>
      </c>
      <c r="D91" s="70">
        <f t="shared" si="2"/>
        <v>0.14244830268429781</v>
      </c>
      <c r="E91" s="44">
        <v>-2.7719619088678673</v>
      </c>
      <c r="F91" s="84">
        <f t="shared" si="3"/>
        <v>77.843000000000004</v>
      </c>
      <c r="G91" s="25" t="s">
        <v>853</v>
      </c>
      <c r="H91" s="25" t="s">
        <v>736</v>
      </c>
    </row>
    <row r="92" spans="1:8" x14ac:dyDescent="0.25">
      <c r="A92" t="s">
        <v>941</v>
      </c>
      <c r="B92" s="58">
        <v>52200</v>
      </c>
      <c r="C92" s="58">
        <v>48597</v>
      </c>
      <c r="D92" s="70">
        <f t="shared" si="2"/>
        <v>-6.9022988505747132E-2</v>
      </c>
      <c r="E92" s="44">
        <v>-2.6908690485347311</v>
      </c>
      <c r="F92" s="84">
        <f t="shared" si="3"/>
        <v>48.597000000000001</v>
      </c>
      <c r="G92" s="25" t="s">
        <v>858</v>
      </c>
      <c r="H92" s="25" t="s">
        <v>736</v>
      </c>
    </row>
    <row r="93" spans="1:8" x14ac:dyDescent="0.25">
      <c r="A93" t="s">
        <v>942</v>
      </c>
      <c r="B93" s="58">
        <v>11219</v>
      </c>
      <c r="C93" s="58">
        <v>10406</v>
      </c>
      <c r="D93" s="70">
        <f t="shared" si="2"/>
        <v>-7.2466351724752645E-2</v>
      </c>
      <c r="E93" s="44">
        <v>-2.6382243246852699</v>
      </c>
      <c r="F93" s="84">
        <f t="shared" si="3"/>
        <v>10.406000000000001</v>
      </c>
      <c r="G93" s="25" t="s">
        <v>858</v>
      </c>
      <c r="H93" s="25" t="s">
        <v>736</v>
      </c>
    </row>
    <row r="94" spans="1:8" x14ac:dyDescent="0.25">
      <c r="A94" t="s">
        <v>943</v>
      </c>
      <c r="B94" s="58">
        <v>16459</v>
      </c>
      <c r="C94" s="58">
        <v>16452</v>
      </c>
      <c r="D94" s="70">
        <f t="shared" si="2"/>
        <v>-4.2529922838568566E-4</v>
      </c>
      <c r="E94" s="44">
        <v>-2.5861512184746971</v>
      </c>
      <c r="F94" s="84">
        <f t="shared" si="3"/>
        <v>16.452000000000002</v>
      </c>
      <c r="G94" s="25" t="s">
        <v>858</v>
      </c>
      <c r="H94" s="25" t="s">
        <v>736</v>
      </c>
    </row>
    <row r="95" spans="1:8" x14ac:dyDescent="0.25">
      <c r="A95" t="s">
        <v>944</v>
      </c>
      <c r="B95" s="58">
        <v>2007</v>
      </c>
      <c r="C95" s="58">
        <v>1713</v>
      </c>
      <c r="D95" s="70">
        <f t="shared" si="2"/>
        <v>-0.14648729446935724</v>
      </c>
      <c r="E95" s="44">
        <v>-2.5731382634903142</v>
      </c>
      <c r="F95" s="84">
        <f t="shared" si="3"/>
        <v>1.7130000000000001</v>
      </c>
      <c r="G95" s="25" t="s">
        <v>858</v>
      </c>
      <c r="H95" s="25" t="s">
        <v>736</v>
      </c>
    </row>
    <row r="96" spans="1:8" x14ac:dyDescent="0.25">
      <c r="A96" t="s">
        <v>945</v>
      </c>
      <c r="B96" s="58">
        <v>482810</v>
      </c>
      <c r="C96" s="58">
        <v>551367</v>
      </c>
      <c r="D96" s="70">
        <f t="shared" si="2"/>
        <v>0.14199581615956589</v>
      </c>
      <c r="E96" s="44">
        <v>-2.5633827092141743</v>
      </c>
      <c r="F96" s="84">
        <f t="shared" si="3"/>
        <v>551.36699999999996</v>
      </c>
      <c r="G96" s="25" t="s">
        <v>858</v>
      </c>
      <c r="H96" s="25" t="s">
        <v>736</v>
      </c>
    </row>
    <row r="97" spans="1:8" x14ac:dyDescent="0.25">
      <c r="A97" t="s">
        <v>946</v>
      </c>
      <c r="B97" s="58">
        <v>3167286</v>
      </c>
      <c r="C97" s="58">
        <v>3816594</v>
      </c>
      <c r="D97" s="70">
        <f t="shared" si="2"/>
        <v>0.20500453700739371</v>
      </c>
      <c r="E97" s="44">
        <v>-2.5633654988795751</v>
      </c>
      <c r="F97" s="84">
        <f t="shared" si="3"/>
        <v>3816.5940000000001</v>
      </c>
      <c r="G97" s="25" t="s">
        <v>858</v>
      </c>
      <c r="H97" s="25" t="s">
        <v>736</v>
      </c>
    </row>
    <row r="98" spans="1:8" x14ac:dyDescent="0.25">
      <c r="A98" t="s">
        <v>947</v>
      </c>
      <c r="B98" s="58">
        <v>6498</v>
      </c>
      <c r="C98" s="58">
        <v>5647</v>
      </c>
      <c r="D98" s="70">
        <f t="shared" si="2"/>
        <v>-0.13096337334564481</v>
      </c>
      <c r="E98" s="44">
        <v>-2.5069911521162851</v>
      </c>
      <c r="F98" s="84">
        <f t="shared" si="3"/>
        <v>5.6470000000000002</v>
      </c>
      <c r="G98" s="25" t="s">
        <v>858</v>
      </c>
      <c r="H98" s="25" t="s">
        <v>736</v>
      </c>
    </row>
    <row r="99" spans="1:8" x14ac:dyDescent="0.25">
      <c r="A99" t="s">
        <v>948</v>
      </c>
      <c r="B99" s="58">
        <v>47209</v>
      </c>
      <c r="C99" s="58">
        <v>56993</v>
      </c>
      <c r="D99" s="70">
        <f t="shared" si="2"/>
        <v>0.20724861784829163</v>
      </c>
      <c r="E99" s="44">
        <v>-2.5054363699623963</v>
      </c>
      <c r="F99" s="84">
        <f t="shared" si="3"/>
        <v>56.993000000000002</v>
      </c>
      <c r="G99" s="25" t="s">
        <v>858</v>
      </c>
      <c r="H99" s="25" t="s">
        <v>736</v>
      </c>
    </row>
    <row r="100" spans="1:8" x14ac:dyDescent="0.25">
      <c r="A100" t="s">
        <v>949</v>
      </c>
      <c r="B100" s="58">
        <v>108070</v>
      </c>
      <c r="C100" s="58">
        <v>108556</v>
      </c>
      <c r="D100" s="70">
        <f t="shared" si="2"/>
        <v>4.4970852225409454E-3</v>
      </c>
      <c r="E100" s="44">
        <v>-2.475222519107362</v>
      </c>
      <c r="F100" s="84">
        <f t="shared" si="3"/>
        <v>108.556</v>
      </c>
      <c r="G100" s="25" t="s">
        <v>858</v>
      </c>
      <c r="H100" s="25" t="s">
        <v>736</v>
      </c>
    </row>
    <row r="101" spans="1:8" x14ac:dyDescent="0.25">
      <c r="A101" t="s">
        <v>950</v>
      </c>
      <c r="B101" s="58">
        <v>4789</v>
      </c>
      <c r="C101" s="58">
        <v>4490</v>
      </c>
      <c r="D101" s="70">
        <f t="shared" si="2"/>
        <v>-6.2434746293589478E-2</v>
      </c>
      <c r="E101" s="44">
        <v>-2.4614198522222122</v>
      </c>
      <c r="F101" s="84">
        <f t="shared" si="3"/>
        <v>4.49</v>
      </c>
      <c r="G101" s="25" t="s">
        <v>858</v>
      </c>
      <c r="H101" s="25" t="s">
        <v>736</v>
      </c>
    </row>
    <row r="102" spans="1:8" x14ac:dyDescent="0.25">
      <c r="A102" t="s">
        <v>951</v>
      </c>
      <c r="B102" s="58">
        <v>4547</v>
      </c>
      <c r="C102" s="58">
        <v>4037</v>
      </c>
      <c r="D102" s="70">
        <f t="shared" si="2"/>
        <v>-0.11216186496591159</v>
      </c>
      <c r="E102" s="44">
        <v>-2.4547012441342702</v>
      </c>
      <c r="F102" s="84">
        <f t="shared" si="3"/>
        <v>4.0369999999999999</v>
      </c>
      <c r="G102" s="25" t="s">
        <v>858</v>
      </c>
      <c r="H102" s="25" t="s">
        <v>736</v>
      </c>
    </row>
    <row r="103" spans="1:8" x14ac:dyDescent="0.25">
      <c r="A103" t="s">
        <v>952</v>
      </c>
      <c r="B103" s="58">
        <v>253522</v>
      </c>
      <c r="C103" s="58">
        <v>266435</v>
      </c>
      <c r="D103" s="70">
        <f t="shared" si="2"/>
        <v>5.0934435670277133E-2</v>
      </c>
      <c r="E103" s="44">
        <v>-2.4486187701023017</v>
      </c>
      <c r="F103" s="84">
        <f t="shared" si="3"/>
        <v>266.435</v>
      </c>
      <c r="G103" s="25" t="s">
        <v>858</v>
      </c>
      <c r="H103" s="25" t="s">
        <v>736</v>
      </c>
    </row>
    <row r="104" spans="1:8" x14ac:dyDescent="0.25">
      <c r="A104" t="s">
        <v>953</v>
      </c>
      <c r="B104" s="58">
        <v>7714</v>
      </c>
      <c r="C104" s="58">
        <v>7650</v>
      </c>
      <c r="D104" s="70">
        <f t="shared" si="2"/>
        <v>-8.2966035779102922E-3</v>
      </c>
      <c r="E104" s="44">
        <v>-2.4447043697402577</v>
      </c>
      <c r="F104" s="84">
        <f t="shared" si="3"/>
        <v>7.65</v>
      </c>
      <c r="G104" s="25" t="s">
        <v>858</v>
      </c>
      <c r="H104" s="25" t="s">
        <v>736</v>
      </c>
    </row>
    <row r="105" spans="1:8" x14ac:dyDescent="0.25">
      <c r="A105" t="s">
        <v>954</v>
      </c>
      <c r="B105" s="58">
        <v>14962</v>
      </c>
      <c r="C105" s="58">
        <v>13586</v>
      </c>
      <c r="D105" s="70">
        <f t="shared" si="2"/>
        <v>-9.1966314663814996E-2</v>
      </c>
      <c r="E105" s="44">
        <v>-2.416980813013085</v>
      </c>
      <c r="F105" s="84">
        <f t="shared" si="3"/>
        <v>13.586</v>
      </c>
      <c r="G105" s="25" t="s">
        <v>858</v>
      </c>
      <c r="H105" s="25" t="s">
        <v>736</v>
      </c>
    </row>
    <row r="106" spans="1:8" x14ac:dyDescent="0.25">
      <c r="A106" t="s">
        <v>955</v>
      </c>
      <c r="B106" s="58">
        <v>98293</v>
      </c>
      <c r="C106" s="58">
        <v>95242</v>
      </c>
      <c r="D106" s="70">
        <f t="shared" si="2"/>
        <v>-3.1039850243659264E-2</v>
      </c>
      <c r="E106" s="44">
        <v>-2.3876273011588509</v>
      </c>
      <c r="F106" s="84">
        <f t="shared" si="3"/>
        <v>95.242000000000004</v>
      </c>
      <c r="G106" s="25" t="s">
        <v>858</v>
      </c>
      <c r="H106" s="25" t="s">
        <v>736</v>
      </c>
    </row>
    <row r="107" spans="1:8" x14ac:dyDescent="0.25">
      <c r="A107" t="s">
        <v>956</v>
      </c>
      <c r="B107" s="58">
        <v>200057</v>
      </c>
      <c r="C107" s="58">
        <v>220619</v>
      </c>
      <c r="D107" s="70">
        <f t="shared" si="2"/>
        <v>0.10278070749836296</v>
      </c>
      <c r="E107" s="44">
        <v>-2.3779658693936003</v>
      </c>
      <c r="F107" s="84">
        <f t="shared" si="3"/>
        <v>220.619</v>
      </c>
      <c r="G107" s="25" t="s">
        <v>858</v>
      </c>
      <c r="H107" s="25" t="s">
        <v>736</v>
      </c>
    </row>
    <row r="108" spans="1:8" x14ac:dyDescent="0.25">
      <c r="A108" t="s">
        <v>957</v>
      </c>
      <c r="B108" s="58">
        <v>11541</v>
      </c>
      <c r="C108" s="58">
        <v>11265</v>
      </c>
      <c r="D108" s="70">
        <f t="shared" si="2"/>
        <v>-2.3914738757473356E-2</v>
      </c>
      <c r="E108" s="44">
        <v>-2.3680293720829244</v>
      </c>
      <c r="F108" s="84">
        <f t="shared" si="3"/>
        <v>11.265000000000001</v>
      </c>
      <c r="G108" s="25" t="s">
        <v>858</v>
      </c>
      <c r="H108" s="25" t="s">
        <v>736</v>
      </c>
    </row>
    <row r="109" spans="1:8" x14ac:dyDescent="0.25">
      <c r="A109" t="s">
        <v>958</v>
      </c>
      <c r="B109" s="58">
        <v>377275</v>
      </c>
      <c r="C109" s="58">
        <v>404163</v>
      </c>
      <c r="D109" s="70">
        <f t="shared" si="2"/>
        <v>7.126896825922735E-2</v>
      </c>
      <c r="E109" s="44">
        <v>-2.3479155176332007</v>
      </c>
      <c r="F109" s="84">
        <f t="shared" si="3"/>
        <v>404.16300000000001</v>
      </c>
      <c r="G109" s="25" t="s">
        <v>858</v>
      </c>
      <c r="H109" s="25" t="s">
        <v>736</v>
      </c>
    </row>
    <row r="110" spans="1:8" x14ac:dyDescent="0.25">
      <c r="A110" t="s">
        <v>959</v>
      </c>
      <c r="B110" s="58">
        <v>743</v>
      </c>
      <c r="C110" s="58">
        <v>854</v>
      </c>
      <c r="D110" s="70">
        <f t="shared" si="2"/>
        <v>0.14939434724091522</v>
      </c>
      <c r="E110" s="44">
        <v>-2.330295056445804</v>
      </c>
      <c r="F110" s="84">
        <f t="shared" si="3"/>
        <v>0.85399999999999998</v>
      </c>
      <c r="G110" s="25" t="s">
        <v>858</v>
      </c>
      <c r="H110" s="25" t="s">
        <v>736</v>
      </c>
    </row>
    <row r="111" spans="1:8" x14ac:dyDescent="0.25">
      <c r="A111" t="s">
        <v>960</v>
      </c>
      <c r="B111" s="58">
        <v>90882</v>
      </c>
      <c r="C111" s="58">
        <v>90560</v>
      </c>
      <c r="D111" s="70">
        <f t="shared" si="2"/>
        <v>-3.5430558306375299E-3</v>
      </c>
      <c r="E111" s="44">
        <v>-2.2999765259379377</v>
      </c>
      <c r="F111" s="84">
        <f t="shared" si="3"/>
        <v>90.56</v>
      </c>
      <c r="G111" s="25" t="s">
        <v>858</v>
      </c>
      <c r="H111" s="25" t="s">
        <v>736</v>
      </c>
    </row>
    <row r="112" spans="1:8" x14ac:dyDescent="0.25">
      <c r="A112" t="s">
        <v>961</v>
      </c>
      <c r="B112" s="58">
        <v>4979</v>
      </c>
      <c r="C112" s="58">
        <v>5030</v>
      </c>
      <c r="D112" s="70">
        <f t="shared" si="2"/>
        <v>1.0243020686884917E-2</v>
      </c>
      <c r="E112" s="44">
        <v>-2.2794350404039605</v>
      </c>
      <c r="F112" s="84">
        <f t="shared" si="3"/>
        <v>5.03</v>
      </c>
      <c r="G112" s="25" t="s">
        <v>853</v>
      </c>
      <c r="H112" s="25" t="s">
        <v>736</v>
      </c>
    </row>
    <row r="113" spans="1:8" x14ac:dyDescent="0.25">
      <c r="A113" t="s">
        <v>962</v>
      </c>
      <c r="B113" s="58">
        <v>28839</v>
      </c>
      <c r="C113" s="58">
        <v>27103</v>
      </c>
      <c r="D113" s="70">
        <f t="shared" si="2"/>
        <v>-6.0196262006310897E-2</v>
      </c>
      <c r="E113" s="44">
        <v>-2.2741896839673483</v>
      </c>
      <c r="F113" s="84">
        <f t="shared" si="3"/>
        <v>27.103000000000002</v>
      </c>
      <c r="G113" s="25" t="s">
        <v>858</v>
      </c>
      <c r="H113" s="25" t="s">
        <v>736</v>
      </c>
    </row>
    <row r="114" spans="1:8" x14ac:dyDescent="0.25">
      <c r="A114" t="s">
        <v>963</v>
      </c>
      <c r="B114" s="58">
        <v>10704</v>
      </c>
      <c r="C114" s="58">
        <v>10617</v>
      </c>
      <c r="D114" s="70">
        <f t="shared" si="2"/>
        <v>-8.1278026905829588E-3</v>
      </c>
      <c r="E114" s="44">
        <v>-2.2500724816011797</v>
      </c>
      <c r="F114" s="84">
        <f t="shared" si="3"/>
        <v>10.617000000000001</v>
      </c>
      <c r="G114" s="25" t="s">
        <v>858</v>
      </c>
      <c r="H114" s="25" t="s">
        <v>736</v>
      </c>
    </row>
    <row r="115" spans="1:8" x14ac:dyDescent="0.25">
      <c r="A115" t="s">
        <v>964</v>
      </c>
      <c r="B115" s="58">
        <v>66232</v>
      </c>
      <c r="C115" s="58">
        <v>62091</v>
      </c>
      <c r="D115" s="70">
        <f t="shared" si="2"/>
        <v>-6.2522647662761208E-2</v>
      </c>
      <c r="E115" s="44">
        <v>-2.2296275390906946</v>
      </c>
      <c r="F115" s="84">
        <f t="shared" si="3"/>
        <v>62.091000000000001</v>
      </c>
      <c r="G115" s="25" t="s">
        <v>858</v>
      </c>
      <c r="H115" s="25" t="s">
        <v>736</v>
      </c>
    </row>
    <row r="116" spans="1:8" x14ac:dyDescent="0.25">
      <c r="A116" t="s">
        <v>965</v>
      </c>
      <c r="B116" s="58">
        <v>2689</v>
      </c>
      <c r="C116" s="58">
        <v>2651</v>
      </c>
      <c r="D116" s="70">
        <f t="shared" si="2"/>
        <v>-1.4131647452584604E-2</v>
      </c>
      <c r="E116" s="44">
        <v>-2.2220438938153411</v>
      </c>
      <c r="F116" s="84">
        <f t="shared" si="3"/>
        <v>2.6509999999999998</v>
      </c>
      <c r="G116" s="25" t="s">
        <v>858</v>
      </c>
      <c r="H116" s="25" t="s">
        <v>736</v>
      </c>
    </row>
    <row r="117" spans="1:8" x14ac:dyDescent="0.25">
      <c r="A117" t="s">
        <v>966</v>
      </c>
      <c r="B117" s="58">
        <v>6012</v>
      </c>
      <c r="C117" s="58">
        <v>6269</v>
      </c>
      <c r="D117" s="70">
        <f t="shared" si="2"/>
        <v>4.2747837658017297E-2</v>
      </c>
      <c r="E117" s="44">
        <v>-2.1547741418924815</v>
      </c>
      <c r="F117" s="84">
        <f t="shared" si="3"/>
        <v>6.2690000000000001</v>
      </c>
      <c r="G117" s="25" t="s">
        <v>858</v>
      </c>
      <c r="H117" s="25" t="s">
        <v>736</v>
      </c>
    </row>
    <row r="118" spans="1:8" x14ac:dyDescent="0.25">
      <c r="A118" t="s">
        <v>967</v>
      </c>
      <c r="B118" s="58">
        <v>5825</v>
      </c>
      <c r="C118" s="58">
        <v>6034</v>
      </c>
      <c r="D118" s="70">
        <f t="shared" si="2"/>
        <v>3.5879828326180259E-2</v>
      </c>
      <c r="E118" s="44">
        <v>-2.1471828643105706</v>
      </c>
      <c r="F118" s="84">
        <f t="shared" si="3"/>
        <v>6.0339999999999998</v>
      </c>
      <c r="G118" s="25" t="s">
        <v>858</v>
      </c>
      <c r="H118" s="25" t="s">
        <v>736</v>
      </c>
    </row>
    <row r="119" spans="1:8" x14ac:dyDescent="0.25">
      <c r="A119" t="s">
        <v>968</v>
      </c>
      <c r="B119" s="58">
        <v>33200</v>
      </c>
      <c r="C119" s="58">
        <v>34553</v>
      </c>
      <c r="D119" s="70">
        <f t="shared" si="2"/>
        <v>4.0753012048192774E-2</v>
      </c>
      <c r="E119" s="44">
        <v>-2.1465962161868006</v>
      </c>
      <c r="F119" s="84">
        <f t="shared" si="3"/>
        <v>34.552999999999997</v>
      </c>
      <c r="G119" s="25" t="s">
        <v>858</v>
      </c>
      <c r="H119" s="25" t="s">
        <v>736</v>
      </c>
    </row>
    <row r="120" spans="1:8" x14ac:dyDescent="0.25">
      <c r="A120" t="s">
        <v>969</v>
      </c>
      <c r="B120" s="58">
        <v>8396</v>
      </c>
      <c r="C120" s="58">
        <v>7889</v>
      </c>
      <c r="D120" s="70">
        <f t="shared" si="2"/>
        <v>-6.0385898046688896E-2</v>
      </c>
      <c r="E120" s="44">
        <v>-2.1462080921134543</v>
      </c>
      <c r="F120" s="84">
        <f t="shared" si="3"/>
        <v>7.8890000000000002</v>
      </c>
      <c r="G120" s="25" t="s">
        <v>858</v>
      </c>
      <c r="H120" s="25" t="s">
        <v>736</v>
      </c>
    </row>
    <row r="121" spans="1:8" x14ac:dyDescent="0.25">
      <c r="A121" t="s">
        <v>970</v>
      </c>
      <c r="B121" s="58">
        <v>2923</v>
      </c>
      <c r="C121" s="58">
        <v>2732</v>
      </c>
      <c r="D121" s="70">
        <f t="shared" si="2"/>
        <v>-6.534382483749572E-2</v>
      </c>
      <c r="E121" s="44">
        <v>-2.1323153998713487</v>
      </c>
      <c r="F121" s="84">
        <f t="shared" si="3"/>
        <v>2.7320000000000002</v>
      </c>
      <c r="G121" s="25" t="s">
        <v>858</v>
      </c>
      <c r="H121" s="25" t="s">
        <v>736</v>
      </c>
    </row>
    <row r="122" spans="1:8" x14ac:dyDescent="0.25">
      <c r="A122" t="s">
        <v>971</v>
      </c>
      <c r="B122" s="58">
        <v>7755</v>
      </c>
      <c r="C122" s="58">
        <v>7543</v>
      </c>
      <c r="D122" s="70">
        <f t="shared" si="2"/>
        <v>-2.7337201805286912E-2</v>
      </c>
      <c r="E122" s="44">
        <v>-2.0868796802542757</v>
      </c>
      <c r="F122" s="84">
        <f t="shared" si="3"/>
        <v>7.5430000000000001</v>
      </c>
      <c r="G122" s="25" t="s">
        <v>858</v>
      </c>
      <c r="H122" s="25" t="s">
        <v>736</v>
      </c>
    </row>
    <row r="123" spans="1:8" x14ac:dyDescent="0.25">
      <c r="A123" t="s">
        <v>972</v>
      </c>
      <c r="B123" s="58">
        <v>19234</v>
      </c>
      <c r="C123" s="58">
        <v>20524</v>
      </c>
      <c r="D123" s="70">
        <f t="shared" si="2"/>
        <v>6.7068732452947907E-2</v>
      </c>
      <c r="E123" s="44">
        <v>-2.0695629566117546</v>
      </c>
      <c r="F123" s="84">
        <f t="shared" si="3"/>
        <v>20.524000000000001</v>
      </c>
      <c r="G123" s="25" t="s">
        <v>858</v>
      </c>
      <c r="H123" s="25" t="s">
        <v>736</v>
      </c>
    </row>
    <row r="124" spans="1:8" x14ac:dyDescent="0.25">
      <c r="A124" t="s">
        <v>973</v>
      </c>
      <c r="B124" s="58">
        <v>7380</v>
      </c>
      <c r="C124" s="58">
        <v>6288</v>
      </c>
      <c r="D124" s="70">
        <f t="shared" si="2"/>
        <v>-0.14796747967479676</v>
      </c>
      <c r="E124" s="44">
        <v>-2.0624441561726758</v>
      </c>
      <c r="F124" s="84">
        <f t="shared" si="3"/>
        <v>6.2880000000000003</v>
      </c>
      <c r="G124" s="25" t="s">
        <v>858</v>
      </c>
      <c r="H124" s="25" t="s">
        <v>736</v>
      </c>
    </row>
    <row r="125" spans="1:8" x14ac:dyDescent="0.25">
      <c r="A125" t="s">
        <v>974</v>
      </c>
      <c r="B125" s="58">
        <v>21358</v>
      </c>
      <c r="C125" s="58">
        <v>20946</v>
      </c>
      <c r="D125" s="70">
        <f t="shared" si="2"/>
        <v>-1.9290195711208914E-2</v>
      </c>
      <c r="E125" s="44">
        <v>-2.045182229167164</v>
      </c>
      <c r="F125" s="84">
        <f t="shared" si="3"/>
        <v>20.946000000000002</v>
      </c>
      <c r="G125" s="25" t="s">
        <v>858</v>
      </c>
      <c r="H125" s="25" t="s">
        <v>736</v>
      </c>
    </row>
    <row r="126" spans="1:8" x14ac:dyDescent="0.25">
      <c r="A126" t="s">
        <v>975</v>
      </c>
      <c r="B126" s="58">
        <v>5037</v>
      </c>
      <c r="C126" s="58">
        <v>4411</v>
      </c>
      <c r="D126" s="70">
        <f t="shared" si="2"/>
        <v>-0.12428032559062935</v>
      </c>
      <c r="E126" s="44">
        <v>-2.0087366206623898</v>
      </c>
      <c r="F126" s="84">
        <f t="shared" si="3"/>
        <v>4.4109999999999996</v>
      </c>
      <c r="G126" s="25" t="s">
        <v>858</v>
      </c>
      <c r="H126" s="25" t="s">
        <v>736</v>
      </c>
    </row>
    <row r="127" spans="1:8" x14ac:dyDescent="0.25">
      <c r="A127" t="s">
        <v>976</v>
      </c>
      <c r="B127" s="58">
        <v>49062</v>
      </c>
      <c r="C127" s="58">
        <v>44478</v>
      </c>
      <c r="D127" s="70">
        <f t="shared" si="2"/>
        <v>-9.3432799315152262E-2</v>
      </c>
      <c r="E127" s="44">
        <v>-1.9897150899346521</v>
      </c>
      <c r="F127" s="84">
        <f t="shared" si="3"/>
        <v>44.478000000000002</v>
      </c>
      <c r="G127" s="25" t="s">
        <v>858</v>
      </c>
      <c r="H127" s="25" t="s">
        <v>736</v>
      </c>
    </row>
    <row r="128" spans="1:8" x14ac:dyDescent="0.25">
      <c r="A128" t="s">
        <v>977</v>
      </c>
      <c r="B128" s="58">
        <v>10919803</v>
      </c>
      <c r="C128" s="58">
        <v>13481238</v>
      </c>
      <c r="D128" s="70">
        <f t="shared" si="2"/>
        <v>0.2345678763618721</v>
      </c>
      <c r="E128" s="44">
        <v>-1.8848240707217272</v>
      </c>
      <c r="F128" s="84">
        <f t="shared" si="3"/>
        <v>13481.237999999999</v>
      </c>
      <c r="G128" s="25" t="s">
        <v>858</v>
      </c>
      <c r="H128" s="25" t="s">
        <v>736</v>
      </c>
    </row>
    <row r="129" spans="1:8" x14ac:dyDescent="0.25">
      <c r="A129" t="s">
        <v>978</v>
      </c>
      <c r="B129" s="58">
        <v>11271</v>
      </c>
      <c r="C129" s="58">
        <v>11236</v>
      </c>
      <c r="D129" s="70">
        <f t="shared" si="2"/>
        <v>-3.105314523999645E-3</v>
      </c>
      <c r="E129" s="44">
        <v>-1.8798528497819813</v>
      </c>
      <c r="F129" s="84">
        <f t="shared" si="3"/>
        <v>11.236000000000001</v>
      </c>
      <c r="G129" s="25" t="s">
        <v>858</v>
      </c>
      <c r="H129" s="25" t="s">
        <v>736</v>
      </c>
    </row>
    <row r="130" spans="1:8" x14ac:dyDescent="0.25">
      <c r="A130" t="s">
        <v>979</v>
      </c>
      <c r="B130" s="58">
        <v>56075</v>
      </c>
      <c r="C130" s="58">
        <v>65201</v>
      </c>
      <c r="D130" s="70">
        <f t="shared" si="2"/>
        <v>0.16274632189032545</v>
      </c>
      <c r="E130" s="44">
        <v>-1.8738217519341447</v>
      </c>
      <c r="F130" s="84">
        <f t="shared" si="3"/>
        <v>65.200999999999993</v>
      </c>
      <c r="G130" s="25" t="s">
        <v>858</v>
      </c>
      <c r="H130" s="25" t="s">
        <v>736</v>
      </c>
    </row>
    <row r="131" spans="1:8" x14ac:dyDescent="0.25">
      <c r="A131" t="s">
        <v>980</v>
      </c>
      <c r="B131" s="58">
        <v>3579</v>
      </c>
      <c r="C131" s="58">
        <v>2936</v>
      </c>
      <c r="D131" s="70">
        <f t="shared" si="2"/>
        <v>-0.1796591226599609</v>
      </c>
      <c r="E131" s="44">
        <v>-1.8669681486071426</v>
      </c>
      <c r="F131" s="84">
        <f t="shared" si="3"/>
        <v>2.9359999999999999</v>
      </c>
      <c r="G131" s="25" t="s">
        <v>858</v>
      </c>
      <c r="H131" s="25" t="s">
        <v>736</v>
      </c>
    </row>
    <row r="132" spans="1:8" x14ac:dyDescent="0.25">
      <c r="A132" t="s">
        <v>981</v>
      </c>
      <c r="B132" s="58">
        <v>178508</v>
      </c>
      <c r="C132" s="58">
        <v>179918</v>
      </c>
      <c r="D132" s="70">
        <f t="shared" si="2"/>
        <v>7.8988056557689288E-3</v>
      </c>
      <c r="E132" s="44">
        <v>-1.8599826980464158</v>
      </c>
      <c r="F132" s="84">
        <f t="shared" si="3"/>
        <v>179.91800000000001</v>
      </c>
      <c r="G132" s="25" t="s">
        <v>858</v>
      </c>
      <c r="H132" s="25" t="s">
        <v>736</v>
      </c>
    </row>
    <row r="133" spans="1:8" x14ac:dyDescent="0.25">
      <c r="A133" t="s">
        <v>982</v>
      </c>
      <c r="B133" s="58">
        <v>7305</v>
      </c>
      <c r="C133" s="58">
        <v>7168</v>
      </c>
      <c r="D133" s="70">
        <f t="shared" si="2"/>
        <v>-1.8754277891854895E-2</v>
      </c>
      <c r="E133" s="44">
        <v>-1.8393973773981482</v>
      </c>
      <c r="F133" s="84">
        <f t="shared" si="3"/>
        <v>7.1680000000000001</v>
      </c>
      <c r="G133" s="25" t="s">
        <v>858</v>
      </c>
      <c r="H133" s="25" t="s">
        <v>736</v>
      </c>
    </row>
    <row r="134" spans="1:8" x14ac:dyDescent="0.25">
      <c r="A134" t="s">
        <v>983</v>
      </c>
      <c r="B134" s="58">
        <v>943196</v>
      </c>
      <c r="C134" s="58">
        <v>1100675</v>
      </c>
      <c r="D134" s="70">
        <f t="shared" ref="D134:D197" si="4">(C134-B134)/B134</f>
        <v>0.16696317626453039</v>
      </c>
      <c r="E134" s="44">
        <v>-1.8123820404972228</v>
      </c>
      <c r="F134" s="84">
        <f t="shared" ref="F134:F197" si="5">C134/1000</f>
        <v>1100.675</v>
      </c>
      <c r="G134" s="25" t="s">
        <v>858</v>
      </c>
      <c r="H134" s="25" t="s">
        <v>736</v>
      </c>
    </row>
    <row r="135" spans="1:8" x14ac:dyDescent="0.25">
      <c r="A135" t="s">
        <v>984</v>
      </c>
      <c r="B135" s="58">
        <v>35257</v>
      </c>
      <c r="C135" s="58">
        <v>32999</v>
      </c>
      <c r="D135" s="70">
        <f t="shared" si="4"/>
        <v>-6.4044019627308046E-2</v>
      </c>
      <c r="E135" s="44">
        <v>-1.7627708763486609</v>
      </c>
      <c r="F135" s="84">
        <f t="shared" si="5"/>
        <v>32.999000000000002</v>
      </c>
      <c r="G135" s="25" t="s">
        <v>858</v>
      </c>
      <c r="H135" s="25" t="s">
        <v>736</v>
      </c>
    </row>
    <row r="136" spans="1:8" x14ac:dyDescent="0.25">
      <c r="A136" t="s">
        <v>985</v>
      </c>
      <c r="B136" s="58">
        <v>5812</v>
      </c>
      <c r="C136" s="58">
        <v>5787</v>
      </c>
      <c r="D136" s="70">
        <f t="shared" si="4"/>
        <v>-4.3014452856159667E-3</v>
      </c>
      <c r="E136" s="44">
        <v>-1.7450884002305127</v>
      </c>
      <c r="F136" s="84">
        <f t="shared" si="5"/>
        <v>5.7869999999999999</v>
      </c>
      <c r="G136" s="25" t="s">
        <v>858</v>
      </c>
      <c r="H136" s="25" t="s">
        <v>736</v>
      </c>
    </row>
    <row r="137" spans="1:8" x14ac:dyDescent="0.25">
      <c r="A137" t="s">
        <v>986</v>
      </c>
      <c r="B137" s="58">
        <v>72623</v>
      </c>
      <c r="C137" s="58">
        <v>62979</v>
      </c>
      <c r="D137" s="70">
        <f t="shared" si="4"/>
        <v>-0.13279539539815211</v>
      </c>
      <c r="E137" s="44">
        <v>-1.7162939042555792</v>
      </c>
      <c r="F137" s="84">
        <f t="shared" si="5"/>
        <v>62.978999999999999</v>
      </c>
      <c r="G137" s="25" t="s">
        <v>858</v>
      </c>
      <c r="H137" s="25" t="s">
        <v>736</v>
      </c>
    </row>
    <row r="138" spans="1:8" x14ac:dyDescent="0.25">
      <c r="A138" t="s">
        <v>987</v>
      </c>
      <c r="B138" s="58">
        <v>17308</v>
      </c>
      <c r="C138" s="58">
        <v>16262</v>
      </c>
      <c r="D138" s="70">
        <f t="shared" si="4"/>
        <v>-6.0434481164779293E-2</v>
      </c>
      <c r="E138" s="44">
        <v>-1.7083781790473704</v>
      </c>
      <c r="F138" s="84">
        <f t="shared" si="5"/>
        <v>16.262</v>
      </c>
      <c r="G138" s="25" t="s">
        <v>858</v>
      </c>
      <c r="H138" s="25" t="s">
        <v>736</v>
      </c>
    </row>
    <row r="139" spans="1:8" x14ac:dyDescent="0.25">
      <c r="A139" t="s">
        <v>988</v>
      </c>
      <c r="B139" s="58">
        <v>226886</v>
      </c>
      <c r="C139" s="58">
        <v>236962</v>
      </c>
      <c r="D139" s="70">
        <f t="shared" si="4"/>
        <v>4.4409968001551441E-2</v>
      </c>
      <c r="E139" s="44">
        <v>-1.6527704327564425</v>
      </c>
      <c r="F139" s="84">
        <f t="shared" si="5"/>
        <v>236.96199999999999</v>
      </c>
      <c r="G139" s="25" t="s">
        <v>858</v>
      </c>
      <c r="H139" s="25" t="s">
        <v>736</v>
      </c>
    </row>
    <row r="140" spans="1:8" x14ac:dyDescent="0.25">
      <c r="A140" t="s">
        <v>989</v>
      </c>
      <c r="B140" s="58">
        <v>148428</v>
      </c>
      <c r="C140" s="58">
        <v>159560</v>
      </c>
      <c r="D140" s="70">
        <f t="shared" si="4"/>
        <v>7.4999326272670919E-2</v>
      </c>
      <c r="E140" s="44">
        <v>-1.650896638279125</v>
      </c>
      <c r="F140" s="84">
        <f t="shared" si="5"/>
        <v>159.56</v>
      </c>
      <c r="G140" s="25" t="s">
        <v>858</v>
      </c>
      <c r="H140" s="25" t="s">
        <v>736</v>
      </c>
    </row>
    <row r="141" spans="1:8" x14ac:dyDescent="0.25">
      <c r="A141" t="s">
        <v>990</v>
      </c>
      <c r="B141" s="58">
        <v>335573</v>
      </c>
      <c r="C141" s="58">
        <v>358035</v>
      </c>
      <c r="D141" s="70">
        <f t="shared" si="4"/>
        <v>6.6936255300635031E-2</v>
      </c>
      <c r="E141" s="44">
        <v>-1.6452655371176856</v>
      </c>
      <c r="F141" s="84">
        <f t="shared" si="5"/>
        <v>358.03500000000003</v>
      </c>
      <c r="G141" s="25" t="s">
        <v>858</v>
      </c>
      <c r="H141" s="25" t="s">
        <v>736</v>
      </c>
    </row>
    <row r="142" spans="1:8" x14ac:dyDescent="0.25">
      <c r="A142" t="s">
        <v>991</v>
      </c>
      <c r="B142" s="58">
        <v>95109</v>
      </c>
      <c r="C142" s="58">
        <v>117894</v>
      </c>
      <c r="D142" s="70">
        <f t="shared" si="4"/>
        <v>0.23956723338485317</v>
      </c>
      <c r="E142" s="44">
        <v>-1.64417759391198</v>
      </c>
      <c r="F142" s="84">
        <f t="shared" si="5"/>
        <v>117.89400000000001</v>
      </c>
      <c r="G142" s="25" t="s">
        <v>858</v>
      </c>
      <c r="H142" s="25" t="s">
        <v>736</v>
      </c>
    </row>
    <row r="143" spans="1:8" x14ac:dyDescent="0.25">
      <c r="A143" t="s">
        <v>992</v>
      </c>
      <c r="B143" s="58">
        <v>8935</v>
      </c>
      <c r="C143" s="58">
        <v>8325</v>
      </c>
      <c r="D143" s="70">
        <f t="shared" si="4"/>
        <v>-6.8270844991606044E-2</v>
      </c>
      <c r="E143" s="44">
        <v>-1.5946826675704333</v>
      </c>
      <c r="F143" s="84">
        <f t="shared" si="5"/>
        <v>8.3249999999999993</v>
      </c>
      <c r="G143" s="25" t="s">
        <v>858</v>
      </c>
      <c r="H143" s="25" t="s">
        <v>736</v>
      </c>
    </row>
    <row r="144" spans="1:8" x14ac:dyDescent="0.25">
      <c r="A144" t="s">
        <v>993</v>
      </c>
      <c r="B144" s="58">
        <v>7673</v>
      </c>
      <c r="C144" s="58">
        <v>7582</v>
      </c>
      <c r="D144" s="70">
        <f t="shared" si="4"/>
        <v>-1.1859768017724488E-2</v>
      </c>
      <c r="E144" s="44">
        <v>-1.5739086243999694</v>
      </c>
      <c r="F144" s="84">
        <f t="shared" si="5"/>
        <v>7.5819999999999999</v>
      </c>
      <c r="G144" s="25" t="s">
        <v>858</v>
      </c>
      <c r="H144" s="25" t="s">
        <v>736</v>
      </c>
    </row>
    <row r="145" spans="1:8" x14ac:dyDescent="0.25">
      <c r="A145" t="s">
        <v>994</v>
      </c>
      <c r="B145" s="58">
        <v>1119703</v>
      </c>
      <c r="C145" s="58">
        <v>1086339</v>
      </c>
      <c r="D145" s="70">
        <f t="shared" si="4"/>
        <v>-2.9797187289843825E-2</v>
      </c>
      <c r="E145" s="44">
        <v>-1.5672999244044608</v>
      </c>
      <c r="F145" s="84">
        <f t="shared" si="5"/>
        <v>1086.3389999999999</v>
      </c>
      <c r="G145" s="25" t="s">
        <v>858</v>
      </c>
      <c r="H145" s="25" t="s">
        <v>736</v>
      </c>
    </row>
    <row r="146" spans="1:8" x14ac:dyDescent="0.25">
      <c r="A146" t="s">
        <v>995</v>
      </c>
      <c r="B146" s="58">
        <v>20439</v>
      </c>
      <c r="C146" s="58">
        <v>19176</v>
      </c>
      <c r="D146" s="70">
        <f t="shared" si="4"/>
        <v>-6.1793629825333922E-2</v>
      </c>
      <c r="E146" s="44">
        <v>-1.4477907020240899</v>
      </c>
      <c r="F146" s="84">
        <f t="shared" si="5"/>
        <v>19.175999999999998</v>
      </c>
      <c r="G146" s="25" t="s">
        <v>858</v>
      </c>
      <c r="H146" s="25" t="s">
        <v>736</v>
      </c>
    </row>
    <row r="147" spans="1:8" x14ac:dyDescent="0.25">
      <c r="A147" t="s">
        <v>996</v>
      </c>
      <c r="B147" s="58">
        <v>26636</v>
      </c>
      <c r="C147" s="58">
        <v>26168</v>
      </c>
      <c r="D147" s="70">
        <f t="shared" si="4"/>
        <v>-1.7570205736597087E-2</v>
      </c>
      <c r="E147" s="44">
        <v>-1.42516604412498</v>
      </c>
      <c r="F147" s="84">
        <f t="shared" si="5"/>
        <v>26.167999999999999</v>
      </c>
      <c r="G147" s="25" t="s">
        <v>858</v>
      </c>
      <c r="H147" s="25" t="s">
        <v>736</v>
      </c>
    </row>
    <row r="148" spans="1:8" x14ac:dyDescent="0.25">
      <c r="A148" t="s">
        <v>997</v>
      </c>
      <c r="B148" s="58">
        <v>115149</v>
      </c>
      <c r="C148" s="58">
        <v>119609</v>
      </c>
      <c r="D148" s="70">
        <f t="shared" si="4"/>
        <v>3.8732424945071169E-2</v>
      </c>
      <c r="E148" s="44">
        <v>-1.423795531219378</v>
      </c>
      <c r="F148" s="84">
        <f t="shared" si="5"/>
        <v>119.60899999999999</v>
      </c>
      <c r="G148" s="25" t="s">
        <v>858</v>
      </c>
      <c r="H148" s="25" t="s">
        <v>736</v>
      </c>
    </row>
    <row r="149" spans="1:8" x14ac:dyDescent="0.25">
      <c r="A149" t="s">
        <v>998</v>
      </c>
      <c r="B149" s="58">
        <v>8110</v>
      </c>
      <c r="C149" s="58">
        <v>7641</v>
      </c>
      <c r="D149" s="70">
        <f t="shared" si="4"/>
        <v>-5.7829839704069054E-2</v>
      </c>
      <c r="E149" s="44">
        <v>-1.4082037460940544</v>
      </c>
      <c r="F149" s="84">
        <f t="shared" si="5"/>
        <v>7.641</v>
      </c>
      <c r="G149" s="25" t="s">
        <v>858</v>
      </c>
      <c r="H149" s="25" t="s">
        <v>736</v>
      </c>
    </row>
    <row r="150" spans="1:8" x14ac:dyDescent="0.25">
      <c r="A150" t="s">
        <v>999</v>
      </c>
      <c r="B150" s="58">
        <v>103285</v>
      </c>
      <c r="C150" s="58">
        <v>100691</v>
      </c>
      <c r="D150" s="70">
        <f t="shared" si="4"/>
        <v>-2.5114973132594278E-2</v>
      </c>
      <c r="E150" s="44">
        <v>-1.3943638393026561</v>
      </c>
      <c r="F150" s="84">
        <f t="shared" si="5"/>
        <v>100.691</v>
      </c>
      <c r="G150" s="25" t="s">
        <v>858</v>
      </c>
      <c r="H150" s="25" t="s">
        <v>736</v>
      </c>
    </row>
    <row r="151" spans="1:8" x14ac:dyDescent="0.25">
      <c r="A151" t="s">
        <v>1000</v>
      </c>
      <c r="B151" s="58">
        <v>868</v>
      </c>
      <c r="C151" s="58">
        <v>729</v>
      </c>
      <c r="D151" s="70">
        <f t="shared" si="4"/>
        <v>-0.16013824884792627</v>
      </c>
      <c r="E151" s="44">
        <v>-1.366675218786785</v>
      </c>
      <c r="F151" s="84">
        <f t="shared" si="5"/>
        <v>0.72899999999999998</v>
      </c>
      <c r="G151" s="25" t="s">
        <v>858</v>
      </c>
      <c r="H151" s="25" t="s">
        <v>736</v>
      </c>
    </row>
    <row r="152" spans="1:8" x14ac:dyDescent="0.25">
      <c r="A152" t="s">
        <v>1001</v>
      </c>
      <c r="B152" s="58">
        <v>351449</v>
      </c>
      <c r="C152" s="58">
        <v>332062</v>
      </c>
      <c r="D152" s="70">
        <f t="shared" si="4"/>
        <v>-5.516305352981514E-2</v>
      </c>
      <c r="E152" s="44">
        <v>-1.365007615612404</v>
      </c>
      <c r="F152" s="84">
        <f t="shared" si="5"/>
        <v>332.06200000000001</v>
      </c>
      <c r="G152" s="25" t="s">
        <v>858</v>
      </c>
      <c r="H152" s="25" t="s">
        <v>736</v>
      </c>
    </row>
    <row r="153" spans="1:8" x14ac:dyDescent="0.25">
      <c r="A153" t="s">
        <v>1002</v>
      </c>
      <c r="B153" s="58">
        <v>7835</v>
      </c>
      <c r="C153" s="58">
        <v>11179</v>
      </c>
      <c r="D153" s="70">
        <f t="shared" si="4"/>
        <v>0.42680280791320996</v>
      </c>
      <c r="E153" s="44">
        <v>-1.3318399689639424</v>
      </c>
      <c r="F153" s="84">
        <f t="shared" si="5"/>
        <v>11.179</v>
      </c>
      <c r="G153" s="25" t="s">
        <v>858</v>
      </c>
      <c r="H153" s="25" t="s">
        <v>736</v>
      </c>
    </row>
    <row r="154" spans="1:8" x14ac:dyDescent="0.25">
      <c r="A154" t="s">
        <v>1003</v>
      </c>
      <c r="B154" s="58">
        <v>14322</v>
      </c>
      <c r="C154" s="58">
        <v>14621</v>
      </c>
      <c r="D154" s="70">
        <f t="shared" si="4"/>
        <v>2.0876972489875717E-2</v>
      </c>
      <c r="E154" s="44">
        <v>-1.2995473491334266</v>
      </c>
      <c r="F154" s="84">
        <f t="shared" si="5"/>
        <v>14.621</v>
      </c>
      <c r="G154" s="25" t="s">
        <v>858</v>
      </c>
      <c r="H154" s="25" t="s">
        <v>736</v>
      </c>
    </row>
    <row r="155" spans="1:8" x14ac:dyDescent="0.25">
      <c r="A155" t="s">
        <v>1004</v>
      </c>
      <c r="B155" s="58">
        <v>120907</v>
      </c>
      <c r="C155" s="58">
        <v>110076</v>
      </c>
      <c r="D155" s="70">
        <f t="shared" si="4"/>
        <v>-8.9581248397528679E-2</v>
      </c>
      <c r="E155" s="44">
        <v>-1.2903449753210587</v>
      </c>
      <c r="F155" s="84">
        <f t="shared" si="5"/>
        <v>110.07599999999999</v>
      </c>
      <c r="G155" s="25" t="s">
        <v>858</v>
      </c>
      <c r="H155" s="25" t="s">
        <v>736</v>
      </c>
    </row>
    <row r="156" spans="1:8" x14ac:dyDescent="0.25">
      <c r="A156" t="s">
        <v>1005</v>
      </c>
      <c r="B156" s="58">
        <v>14641</v>
      </c>
      <c r="C156" s="58">
        <v>15653</v>
      </c>
      <c r="D156" s="70">
        <f t="shared" si="4"/>
        <v>6.9120961682945153E-2</v>
      </c>
      <c r="E156" s="44">
        <v>-1.2878071205165433</v>
      </c>
      <c r="F156" s="84">
        <f t="shared" si="5"/>
        <v>15.653</v>
      </c>
      <c r="G156" s="25" t="s">
        <v>858</v>
      </c>
      <c r="H156" s="25" t="s">
        <v>736</v>
      </c>
    </row>
    <row r="157" spans="1:8" x14ac:dyDescent="0.25">
      <c r="A157" t="s">
        <v>1006</v>
      </c>
      <c r="B157" s="58">
        <v>435928</v>
      </c>
      <c r="C157" s="58">
        <v>507915</v>
      </c>
      <c r="D157" s="70">
        <f t="shared" si="4"/>
        <v>0.16513506817639612</v>
      </c>
      <c r="E157" s="44">
        <v>-1.2667021885523759</v>
      </c>
      <c r="F157" s="84">
        <f t="shared" si="5"/>
        <v>507.91500000000002</v>
      </c>
      <c r="G157" s="25" t="s">
        <v>858</v>
      </c>
      <c r="H157" s="25" t="s">
        <v>736</v>
      </c>
    </row>
    <row r="158" spans="1:8" x14ac:dyDescent="0.25">
      <c r="A158" t="s">
        <v>1007</v>
      </c>
      <c r="B158" s="58">
        <v>57338</v>
      </c>
      <c r="C158" s="58">
        <v>57425</v>
      </c>
      <c r="D158" s="70">
        <f t="shared" si="4"/>
        <v>1.5173183578080854E-3</v>
      </c>
      <c r="E158" s="44">
        <v>-1.2551729940237877</v>
      </c>
      <c r="F158" s="84">
        <f t="shared" si="5"/>
        <v>57.424999999999997</v>
      </c>
      <c r="G158" s="25" t="s">
        <v>858</v>
      </c>
      <c r="H158" s="25" t="s">
        <v>736</v>
      </c>
    </row>
    <row r="159" spans="1:8" x14ac:dyDescent="0.25">
      <c r="A159" t="s">
        <v>1008</v>
      </c>
      <c r="B159" s="58">
        <v>422757</v>
      </c>
      <c r="C159" s="58">
        <v>418277</v>
      </c>
      <c r="D159" s="70">
        <f t="shared" si="4"/>
        <v>-1.0597104246647601E-2</v>
      </c>
      <c r="E159" s="44">
        <v>-1.2521958044431347</v>
      </c>
      <c r="F159" s="84">
        <f t="shared" si="5"/>
        <v>418.27699999999999</v>
      </c>
      <c r="G159" s="25" t="s">
        <v>858</v>
      </c>
      <c r="H159" s="25" t="s">
        <v>736</v>
      </c>
    </row>
    <row r="160" spans="1:8" x14ac:dyDescent="0.25">
      <c r="A160" t="s">
        <v>1009</v>
      </c>
      <c r="B160" s="58">
        <v>8376</v>
      </c>
      <c r="C160" s="58">
        <v>8398</v>
      </c>
      <c r="D160" s="70">
        <f t="shared" si="4"/>
        <v>2.6265520534861507E-3</v>
      </c>
      <c r="E160" s="44">
        <v>-1.224119571197182</v>
      </c>
      <c r="F160" s="84">
        <f t="shared" si="5"/>
        <v>8.3979999999999997</v>
      </c>
      <c r="G160" s="25" t="s">
        <v>858</v>
      </c>
      <c r="H160" s="25" t="s">
        <v>736</v>
      </c>
    </row>
    <row r="161" spans="1:8" x14ac:dyDescent="0.25">
      <c r="A161" t="s">
        <v>1010</v>
      </c>
      <c r="B161" s="58">
        <v>4188</v>
      </c>
      <c r="C161" s="58">
        <v>4568</v>
      </c>
      <c r="D161" s="70">
        <f t="shared" si="4"/>
        <v>9.0735434574976126E-2</v>
      </c>
      <c r="E161" s="44">
        <v>-1.2083578060919411</v>
      </c>
      <c r="F161" s="84">
        <f t="shared" si="5"/>
        <v>4.5679999999999996</v>
      </c>
      <c r="G161" s="25" t="s">
        <v>858</v>
      </c>
      <c r="H161" s="25" t="s">
        <v>736</v>
      </c>
    </row>
    <row r="162" spans="1:8" x14ac:dyDescent="0.25">
      <c r="A162" t="s">
        <v>1011</v>
      </c>
      <c r="B162" s="58">
        <v>295025</v>
      </c>
      <c r="C162" s="58">
        <v>286203</v>
      </c>
      <c r="D162" s="70">
        <f t="shared" si="4"/>
        <v>-2.990255063130243E-2</v>
      </c>
      <c r="E162" s="44">
        <v>-1.1716400353905012</v>
      </c>
      <c r="F162" s="84">
        <f t="shared" si="5"/>
        <v>286.20299999999997</v>
      </c>
      <c r="G162" s="25" t="s">
        <v>858</v>
      </c>
      <c r="H162" s="25" t="s">
        <v>736</v>
      </c>
    </row>
    <row r="163" spans="1:8" x14ac:dyDescent="0.25">
      <c r="A163" t="s">
        <v>1012</v>
      </c>
      <c r="B163" s="58">
        <v>144073</v>
      </c>
      <c r="C163" s="58">
        <v>138736</v>
      </c>
      <c r="D163" s="70">
        <f t="shared" si="4"/>
        <v>-3.7043720891492507E-2</v>
      </c>
      <c r="E163" s="44">
        <v>-1.1287305456275796</v>
      </c>
      <c r="F163" s="84">
        <f t="shared" si="5"/>
        <v>138.73599999999999</v>
      </c>
      <c r="G163" s="25" t="s">
        <v>858</v>
      </c>
      <c r="H163" s="25" t="s">
        <v>736</v>
      </c>
    </row>
    <row r="164" spans="1:8" x14ac:dyDescent="0.25">
      <c r="A164" t="s">
        <v>1013</v>
      </c>
      <c r="B164" s="58">
        <v>3187004</v>
      </c>
      <c r="C164" s="58">
        <v>3250924</v>
      </c>
      <c r="D164" s="70">
        <f t="shared" si="4"/>
        <v>2.0056454274924036E-2</v>
      </c>
      <c r="E164" s="44">
        <v>-1.0597535328087542</v>
      </c>
      <c r="F164" s="84">
        <f t="shared" si="5"/>
        <v>3250.924</v>
      </c>
      <c r="G164" s="25" t="s">
        <v>858</v>
      </c>
      <c r="H164" s="25" t="s">
        <v>736</v>
      </c>
    </row>
    <row r="165" spans="1:8" x14ac:dyDescent="0.25">
      <c r="A165" t="s">
        <v>1014</v>
      </c>
      <c r="B165" s="58">
        <v>49756</v>
      </c>
      <c r="C165" s="58">
        <v>47964</v>
      </c>
      <c r="D165" s="70">
        <f t="shared" si="4"/>
        <v>-3.601575689364097E-2</v>
      </c>
      <c r="E165" s="44">
        <v>-1.0431087668576549</v>
      </c>
      <c r="F165" s="84">
        <f t="shared" si="5"/>
        <v>47.963999999999999</v>
      </c>
      <c r="G165" s="25" t="s">
        <v>858</v>
      </c>
      <c r="H165" s="25" t="s">
        <v>736</v>
      </c>
    </row>
    <row r="166" spans="1:8" x14ac:dyDescent="0.25">
      <c r="A166" t="s">
        <v>1015</v>
      </c>
      <c r="B166" s="58">
        <v>72135</v>
      </c>
      <c r="C166" s="58">
        <v>72375</v>
      </c>
      <c r="D166" s="70">
        <f t="shared" si="4"/>
        <v>3.3270950301517986E-3</v>
      </c>
      <c r="E166" s="44">
        <v>-0.92538678985045486</v>
      </c>
      <c r="F166" s="84">
        <f t="shared" si="5"/>
        <v>72.375</v>
      </c>
      <c r="G166" s="25" t="s">
        <v>858</v>
      </c>
      <c r="H166" s="25" t="s">
        <v>736</v>
      </c>
    </row>
    <row r="167" spans="1:8" x14ac:dyDescent="0.25">
      <c r="A167" t="s">
        <v>1016</v>
      </c>
      <c r="B167" s="58">
        <v>4067</v>
      </c>
      <c r="C167" s="58">
        <v>4073</v>
      </c>
      <c r="D167" s="70">
        <f t="shared" si="4"/>
        <v>1.4752889107450208E-3</v>
      </c>
      <c r="E167" s="44">
        <v>-0.86124616400432741</v>
      </c>
      <c r="F167" s="84">
        <f t="shared" si="5"/>
        <v>4.0730000000000004</v>
      </c>
      <c r="G167" s="25" t="s">
        <v>858</v>
      </c>
      <c r="H167" s="25" t="s">
        <v>736</v>
      </c>
    </row>
    <row r="168" spans="1:8" x14ac:dyDescent="0.25">
      <c r="A168" t="s">
        <v>1017</v>
      </c>
      <c r="B168" s="58">
        <v>5171</v>
      </c>
      <c r="C168" s="58">
        <v>4500</v>
      </c>
      <c r="D168" s="70">
        <f t="shared" si="4"/>
        <v>-0.12976213498356218</v>
      </c>
      <c r="E168" s="44">
        <v>-0.85073857156541877</v>
      </c>
      <c r="F168" s="84">
        <f t="shared" si="5"/>
        <v>4.5</v>
      </c>
      <c r="G168" s="25" t="s">
        <v>858</v>
      </c>
      <c r="H168" s="25" t="s">
        <v>736</v>
      </c>
    </row>
    <row r="169" spans="1:8" x14ac:dyDescent="0.25">
      <c r="A169" t="s">
        <v>1018</v>
      </c>
      <c r="B169" s="58">
        <v>183367</v>
      </c>
      <c r="C169" s="58">
        <v>149669</v>
      </c>
      <c r="D169" s="70">
        <f t="shared" si="4"/>
        <v>-0.18377352522536772</v>
      </c>
      <c r="E169" s="44">
        <v>-0.84756777979843534</v>
      </c>
      <c r="F169" s="84">
        <f t="shared" si="5"/>
        <v>149.66900000000001</v>
      </c>
      <c r="G169" s="25" t="s">
        <v>858</v>
      </c>
      <c r="H169" s="25" t="s">
        <v>736</v>
      </c>
    </row>
    <row r="170" spans="1:8" x14ac:dyDescent="0.25">
      <c r="A170" t="s">
        <v>1019</v>
      </c>
      <c r="B170" s="58">
        <v>721257</v>
      </c>
      <c r="C170" s="58">
        <v>718621</v>
      </c>
      <c r="D170" s="70">
        <f t="shared" si="4"/>
        <v>-3.6547305606739345E-3</v>
      </c>
      <c r="E170" s="44">
        <v>-0.81267125411477181</v>
      </c>
      <c r="F170" s="84">
        <f t="shared" si="5"/>
        <v>718.62099999999998</v>
      </c>
      <c r="G170" s="25" t="s">
        <v>858</v>
      </c>
      <c r="H170" s="25" t="s">
        <v>736</v>
      </c>
    </row>
    <row r="171" spans="1:8" x14ac:dyDescent="0.25">
      <c r="A171" t="s">
        <v>1020</v>
      </c>
      <c r="B171" s="58">
        <v>148803</v>
      </c>
      <c r="C171" s="58">
        <v>159056</v>
      </c>
      <c r="D171" s="70">
        <f t="shared" si="4"/>
        <v>6.8903180715442561E-2</v>
      </c>
      <c r="E171" s="44">
        <v>-0.71136822913652331</v>
      </c>
      <c r="F171" s="84">
        <f t="shared" si="5"/>
        <v>159.05600000000001</v>
      </c>
      <c r="G171" s="25" t="s">
        <v>858</v>
      </c>
      <c r="H171" s="25" t="s">
        <v>736</v>
      </c>
    </row>
    <row r="172" spans="1:8" x14ac:dyDescent="0.25">
      <c r="A172" t="s">
        <v>1021</v>
      </c>
      <c r="B172" s="58">
        <v>49338</v>
      </c>
      <c r="C172" s="58">
        <v>40361</v>
      </c>
      <c r="D172" s="70">
        <f t="shared" si="4"/>
        <v>-0.181949004823868</v>
      </c>
      <c r="E172" s="44">
        <v>-0.44781193962858801</v>
      </c>
      <c r="F172" s="84">
        <f t="shared" si="5"/>
        <v>40.360999999999997</v>
      </c>
      <c r="G172" s="25" t="s">
        <v>858</v>
      </c>
      <c r="H172" s="25" t="s">
        <v>736</v>
      </c>
    </row>
    <row r="173" spans="1:8" x14ac:dyDescent="0.25">
      <c r="A173" t="s">
        <v>1022</v>
      </c>
      <c r="B173" s="58">
        <v>4735</v>
      </c>
      <c r="C173" s="58">
        <v>4208</v>
      </c>
      <c r="D173" s="70">
        <f t="shared" si="4"/>
        <v>-0.11129883843717001</v>
      </c>
      <c r="E173" s="44">
        <v>-0.36148011791811641</v>
      </c>
      <c r="F173" s="84">
        <f t="shared" si="5"/>
        <v>4.2080000000000002</v>
      </c>
      <c r="G173" s="25" t="s">
        <v>858</v>
      </c>
      <c r="H173" s="25" t="s">
        <v>736</v>
      </c>
    </row>
    <row r="174" spans="1:8" x14ac:dyDescent="0.25">
      <c r="A174" t="s">
        <v>887</v>
      </c>
      <c r="B174" s="58">
        <v>159724</v>
      </c>
      <c r="C174" s="58">
        <v>156947</v>
      </c>
      <c r="D174" s="70">
        <f t="shared" si="4"/>
        <v>-1.7386241266184169E-2</v>
      </c>
      <c r="E174" s="44">
        <v>-7.3561417394028883E-2</v>
      </c>
      <c r="F174" s="84">
        <f t="shared" si="5"/>
        <v>156.947</v>
      </c>
      <c r="H174" s="25" t="s">
        <v>736</v>
      </c>
    </row>
    <row r="175" spans="1:8" x14ac:dyDescent="0.25">
      <c r="A175" t="s">
        <v>1023</v>
      </c>
      <c r="B175" s="58">
        <v>22575</v>
      </c>
      <c r="C175" s="58">
        <v>20807</v>
      </c>
      <c r="D175" s="70">
        <f t="shared" si="4"/>
        <v>-7.8316722037652275E-2</v>
      </c>
      <c r="E175" s="44">
        <v>-8.9746271387625143E-3</v>
      </c>
      <c r="F175" s="84">
        <f t="shared" si="5"/>
        <v>20.806999999999999</v>
      </c>
      <c r="G175" s="25" t="s">
        <v>858</v>
      </c>
      <c r="H175" s="25" t="s">
        <v>736</v>
      </c>
    </row>
    <row r="176" spans="1:8" x14ac:dyDescent="0.25">
      <c r="A176" t="s">
        <v>1024</v>
      </c>
      <c r="B176" s="58">
        <v>3487</v>
      </c>
      <c r="C176" s="58">
        <v>2930</v>
      </c>
      <c r="D176" s="70">
        <f t="shared" si="4"/>
        <v>-0.15973616289073703</v>
      </c>
      <c r="E176" s="44">
        <v>4.6835548694282636E-2</v>
      </c>
      <c r="F176" s="84">
        <f t="shared" si="5"/>
        <v>2.93</v>
      </c>
      <c r="G176" s="25" t="s">
        <v>858</v>
      </c>
      <c r="H176" s="25" t="s">
        <v>736</v>
      </c>
    </row>
    <row r="177" spans="1:8" x14ac:dyDescent="0.25">
      <c r="A177" t="s">
        <v>1025</v>
      </c>
      <c r="B177" s="58">
        <v>5998</v>
      </c>
      <c r="C177" s="58">
        <v>5644</v>
      </c>
      <c r="D177" s="70">
        <f t="shared" si="4"/>
        <v>-5.9019673224408133E-2</v>
      </c>
      <c r="E177" s="44">
        <v>0.10821204216855485</v>
      </c>
      <c r="F177" s="84">
        <f t="shared" si="5"/>
        <v>5.6440000000000001</v>
      </c>
      <c r="G177" s="25" t="s">
        <v>858</v>
      </c>
      <c r="H177" s="25" t="s">
        <v>736</v>
      </c>
    </row>
    <row r="178" spans="1:8" x14ac:dyDescent="0.25">
      <c r="A178" t="s">
        <v>1026</v>
      </c>
      <c r="B178" s="58">
        <v>13966</v>
      </c>
      <c r="C178" s="58">
        <v>11066</v>
      </c>
      <c r="D178" s="70">
        <f t="shared" si="4"/>
        <v>-0.20764714306172133</v>
      </c>
      <c r="E178" s="44">
        <v>0.38290883361402273</v>
      </c>
      <c r="F178" s="84">
        <f t="shared" si="5"/>
        <v>11.066000000000001</v>
      </c>
      <c r="G178" s="25" t="s">
        <v>858</v>
      </c>
      <c r="H178" s="25" t="s">
        <v>736</v>
      </c>
    </row>
    <row r="179" spans="1:8" x14ac:dyDescent="0.25">
      <c r="A179" t="s">
        <v>1027</v>
      </c>
      <c r="B179" s="58">
        <v>5965</v>
      </c>
      <c r="C179" s="58">
        <v>4321</v>
      </c>
      <c r="D179" s="70">
        <f t="shared" si="4"/>
        <v>-0.27560771165129927</v>
      </c>
      <c r="E179" s="44">
        <v>0.56965234799275599</v>
      </c>
      <c r="F179" s="84">
        <f t="shared" si="5"/>
        <v>4.3209999999999997</v>
      </c>
      <c r="G179" s="25" t="s">
        <v>858</v>
      </c>
      <c r="H179" s="25" t="s">
        <v>736</v>
      </c>
    </row>
    <row r="180" spans="1:8" x14ac:dyDescent="0.25">
      <c r="A180" t="s">
        <v>1028</v>
      </c>
      <c r="B180" s="58">
        <v>5409</v>
      </c>
      <c r="C180" s="58">
        <v>4971</v>
      </c>
      <c r="D180" s="70">
        <f t="shared" si="4"/>
        <v>-8.0976150859678311E-2</v>
      </c>
      <c r="E180" s="44">
        <v>0.61130198464863028</v>
      </c>
      <c r="F180" s="84">
        <f t="shared" si="5"/>
        <v>4.9710000000000001</v>
      </c>
      <c r="G180" s="25" t="s">
        <v>858</v>
      </c>
      <c r="H180" s="25" t="s">
        <v>736</v>
      </c>
    </row>
    <row r="181" spans="1:8" x14ac:dyDescent="0.25">
      <c r="A181" t="s">
        <v>1029</v>
      </c>
      <c r="B181" s="58">
        <v>3511</v>
      </c>
      <c r="C181" s="58">
        <v>3245</v>
      </c>
      <c r="D181" s="70">
        <f t="shared" si="4"/>
        <v>-7.5761891199088577E-2</v>
      </c>
      <c r="E181" s="44">
        <v>0.99781283634056983</v>
      </c>
      <c r="F181" s="84">
        <f t="shared" si="5"/>
        <v>3.2450000000000001</v>
      </c>
      <c r="G181" s="25" t="s">
        <v>858</v>
      </c>
      <c r="H181" s="25" t="s">
        <v>736</v>
      </c>
    </row>
    <row r="182" spans="1:8" x14ac:dyDescent="0.25">
      <c r="A182" t="s">
        <v>1030</v>
      </c>
      <c r="B182" s="58">
        <v>8570</v>
      </c>
      <c r="C182" s="58">
        <v>6204</v>
      </c>
      <c r="D182" s="70">
        <f t="shared" si="4"/>
        <v>-0.27607934655775962</v>
      </c>
      <c r="E182" s="44">
        <v>1.2619999108132376</v>
      </c>
      <c r="F182" s="84">
        <f t="shared" si="5"/>
        <v>6.2039999999999997</v>
      </c>
      <c r="G182" s="25" t="s">
        <v>858</v>
      </c>
      <c r="H182" s="25" t="s">
        <v>736</v>
      </c>
    </row>
    <row r="183" spans="1:8" x14ac:dyDescent="0.25">
      <c r="A183" t="s">
        <v>1031</v>
      </c>
      <c r="B183" s="58">
        <v>56140</v>
      </c>
      <c r="C183" s="58">
        <v>52330</v>
      </c>
      <c r="D183" s="70">
        <f t="shared" si="4"/>
        <v>-6.7866049162807265E-2</v>
      </c>
      <c r="E183" s="44">
        <v>1.4434872185488619</v>
      </c>
      <c r="F183" s="84">
        <f t="shared" si="5"/>
        <v>52.33</v>
      </c>
      <c r="G183" s="25" t="s">
        <v>858</v>
      </c>
      <c r="H183" s="25" t="s">
        <v>736</v>
      </c>
    </row>
    <row r="184" spans="1:8" x14ac:dyDescent="0.25">
      <c r="A184" t="s">
        <v>1032</v>
      </c>
      <c r="B184" s="58">
        <v>48038</v>
      </c>
      <c r="C184" s="58">
        <v>33040</v>
      </c>
      <c r="D184" s="70">
        <f t="shared" si="4"/>
        <v>-0.31221116616012323</v>
      </c>
      <c r="E184" s="44">
        <v>1.4674864097913645</v>
      </c>
      <c r="F184" s="84">
        <f t="shared" si="5"/>
        <v>33.04</v>
      </c>
      <c r="G184" s="25" t="s">
        <v>858</v>
      </c>
      <c r="H184" s="25" t="s">
        <v>736</v>
      </c>
    </row>
    <row r="185" spans="1:8" x14ac:dyDescent="0.25">
      <c r="A185" t="s">
        <v>1033</v>
      </c>
      <c r="B185" s="58">
        <v>134019</v>
      </c>
      <c r="C185" s="58">
        <v>79860</v>
      </c>
      <c r="D185" s="70">
        <f t="shared" si="4"/>
        <v>-0.4041143419962841</v>
      </c>
      <c r="E185" s="44">
        <v>2.2380202378222496</v>
      </c>
      <c r="F185" s="84">
        <f t="shared" si="5"/>
        <v>79.86</v>
      </c>
      <c r="G185" s="25" t="s">
        <v>858</v>
      </c>
      <c r="H185" s="25" t="s">
        <v>736</v>
      </c>
    </row>
    <row r="186" spans="1:8" x14ac:dyDescent="0.25">
      <c r="A186" t="s">
        <v>1034</v>
      </c>
      <c r="B186" s="58">
        <v>3453</v>
      </c>
      <c r="C186" s="58">
        <v>2720</v>
      </c>
      <c r="D186" s="70">
        <f t="shared" si="4"/>
        <v>-0.21227917752678829</v>
      </c>
      <c r="E186" s="44">
        <v>2.5114909269990573</v>
      </c>
      <c r="F186" s="84">
        <f t="shared" si="5"/>
        <v>2.72</v>
      </c>
      <c r="G186" s="25" t="s">
        <v>858</v>
      </c>
      <c r="H186" s="25" t="s">
        <v>736</v>
      </c>
    </row>
    <row r="187" spans="1:8" x14ac:dyDescent="0.25">
      <c r="A187" t="s">
        <v>1035</v>
      </c>
      <c r="B187" s="58">
        <v>13093</v>
      </c>
      <c r="C187" s="58">
        <v>10911</v>
      </c>
      <c r="D187" s="70">
        <f t="shared" si="4"/>
        <v>-0.16665393721836094</v>
      </c>
      <c r="E187" s="44">
        <v>2.5132809165201024</v>
      </c>
      <c r="F187" s="84">
        <f t="shared" si="5"/>
        <v>10.911</v>
      </c>
      <c r="G187" s="25" t="s">
        <v>858</v>
      </c>
      <c r="H187" s="25" t="s">
        <v>736</v>
      </c>
    </row>
    <row r="188" spans="1:8" x14ac:dyDescent="0.25">
      <c r="A188" t="s">
        <v>1036</v>
      </c>
      <c r="B188" s="58">
        <v>2649</v>
      </c>
      <c r="C188" s="58">
        <v>2841</v>
      </c>
      <c r="D188" s="70">
        <f t="shared" si="4"/>
        <v>7.2480181200453006E-2</v>
      </c>
      <c r="E188" s="44">
        <v>3.6998734686314361</v>
      </c>
      <c r="F188" s="84">
        <f t="shared" si="5"/>
        <v>2.8410000000000002</v>
      </c>
      <c r="G188" s="25" t="s">
        <v>858</v>
      </c>
      <c r="H188" s="25" t="s">
        <v>736</v>
      </c>
    </row>
    <row r="189" spans="1:8" x14ac:dyDescent="0.25">
      <c r="A189" t="s">
        <v>1037</v>
      </c>
      <c r="B189" s="58">
        <v>4407</v>
      </c>
      <c r="C189" s="58">
        <v>6352</v>
      </c>
      <c r="D189" s="70">
        <f t="shared" si="4"/>
        <v>0.44134331744951216</v>
      </c>
      <c r="E189" s="44">
        <v>-9.2756836598514329</v>
      </c>
      <c r="F189" s="84">
        <f t="shared" si="5"/>
        <v>6.3520000000000003</v>
      </c>
      <c r="G189" s="25" t="s">
        <v>858</v>
      </c>
      <c r="H189" s="25" t="s">
        <v>705</v>
      </c>
    </row>
    <row r="190" spans="1:8" x14ac:dyDescent="0.25">
      <c r="A190" t="s">
        <v>1038</v>
      </c>
      <c r="B190" s="58">
        <v>75283</v>
      </c>
      <c r="C190" s="58">
        <v>85437</v>
      </c>
      <c r="D190" s="70">
        <f t="shared" si="4"/>
        <v>0.13487772803953083</v>
      </c>
      <c r="E190" s="44">
        <v>-5.3765468547512576</v>
      </c>
      <c r="F190" s="84">
        <f t="shared" si="5"/>
        <v>85.436999999999998</v>
      </c>
      <c r="G190" s="25" t="s">
        <v>853</v>
      </c>
      <c r="H190" s="25" t="s">
        <v>705</v>
      </c>
    </row>
    <row r="191" spans="1:8" x14ac:dyDescent="0.25">
      <c r="A191" t="s">
        <v>1039</v>
      </c>
      <c r="B191" s="58">
        <v>40583</v>
      </c>
      <c r="C191" s="58">
        <v>50163</v>
      </c>
      <c r="D191" s="70">
        <f t="shared" si="4"/>
        <v>0.2360594337530493</v>
      </c>
      <c r="E191" s="44">
        <v>-5.2345804684408144</v>
      </c>
      <c r="F191" s="84">
        <f t="shared" si="5"/>
        <v>50.162999999999997</v>
      </c>
      <c r="G191" s="25" t="s">
        <v>853</v>
      </c>
      <c r="H191" s="25" t="s">
        <v>705</v>
      </c>
    </row>
    <row r="192" spans="1:8" x14ac:dyDescent="0.25">
      <c r="A192" t="s">
        <v>1040</v>
      </c>
      <c r="B192" s="58">
        <v>270907</v>
      </c>
      <c r="C192" s="58">
        <v>284965</v>
      </c>
      <c r="D192" s="70">
        <f t="shared" si="4"/>
        <v>5.1892346820126466E-2</v>
      </c>
      <c r="E192" s="44">
        <v>-4.6028756887395339</v>
      </c>
      <c r="F192" s="84">
        <f t="shared" si="5"/>
        <v>284.96499999999997</v>
      </c>
      <c r="G192" s="25" t="s">
        <v>853</v>
      </c>
      <c r="H192" s="25" t="s">
        <v>705</v>
      </c>
    </row>
    <row r="193" spans="1:8" x14ac:dyDescent="0.25">
      <c r="A193" t="s">
        <v>1041</v>
      </c>
      <c r="B193" s="58">
        <v>183980</v>
      </c>
      <c r="C193" s="58">
        <v>201236</v>
      </c>
      <c r="D193" s="70">
        <f t="shared" si="4"/>
        <v>9.379280356560496E-2</v>
      </c>
      <c r="E193" s="44">
        <v>-4.3147224605357053</v>
      </c>
      <c r="F193" s="84">
        <f t="shared" si="5"/>
        <v>201.23599999999999</v>
      </c>
      <c r="G193" s="25" t="s">
        <v>853</v>
      </c>
      <c r="H193" s="25" t="s">
        <v>705</v>
      </c>
    </row>
    <row r="194" spans="1:8" x14ac:dyDescent="0.25">
      <c r="A194" t="s">
        <v>1042</v>
      </c>
      <c r="B194" s="58">
        <v>220799</v>
      </c>
      <c r="C194" s="58">
        <v>265123</v>
      </c>
      <c r="D194" s="70">
        <f t="shared" si="4"/>
        <v>0.20074366278832784</v>
      </c>
      <c r="E194" s="44">
        <v>-4.1802591314278228</v>
      </c>
      <c r="F194" s="84">
        <f t="shared" si="5"/>
        <v>265.12299999999999</v>
      </c>
      <c r="G194" s="25" t="s">
        <v>853</v>
      </c>
      <c r="H194" s="25" t="s">
        <v>705</v>
      </c>
    </row>
    <row r="195" spans="1:8" x14ac:dyDescent="0.25">
      <c r="A195" t="s">
        <v>1043</v>
      </c>
      <c r="B195" s="58">
        <v>87447</v>
      </c>
      <c r="C195" s="58">
        <v>103613</v>
      </c>
      <c r="D195" s="70">
        <f t="shared" si="4"/>
        <v>0.18486626185003488</v>
      </c>
      <c r="E195" s="44">
        <v>-3.7426206676827434</v>
      </c>
      <c r="F195" s="84">
        <f t="shared" si="5"/>
        <v>103.613</v>
      </c>
      <c r="G195" s="25" t="s">
        <v>853</v>
      </c>
      <c r="H195" s="25" t="s">
        <v>705</v>
      </c>
    </row>
    <row r="196" spans="1:8" x14ac:dyDescent="0.25">
      <c r="A196" t="s">
        <v>1044</v>
      </c>
      <c r="B196" s="58">
        <v>179446</v>
      </c>
      <c r="C196" s="58">
        <v>182184</v>
      </c>
      <c r="D196" s="70">
        <f t="shared" si="4"/>
        <v>1.5258072066248343E-2</v>
      </c>
      <c r="E196" s="44">
        <v>-3.0829215490525304</v>
      </c>
      <c r="F196" s="84">
        <f t="shared" si="5"/>
        <v>182.184</v>
      </c>
      <c r="G196" s="25" t="s">
        <v>853</v>
      </c>
      <c r="H196" s="25" t="s">
        <v>705</v>
      </c>
    </row>
    <row r="197" spans="1:8" x14ac:dyDescent="0.25">
      <c r="A197" t="s">
        <v>1045</v>
      </c>
      <c r="B197" s="58">
        <v>25928</v>
      </c>
      <c r="C197" s="58">
        <v>26981</v>
      </c>
      <c r="D197" s="70">
        <f t="shared" si="4"/>
        <v>4.0612465288491204E-2</v>
      </c>
      <c r="E197" s="44">
        <v>-2.7616807473818135</v>
      </c>
      <c r="F197" s="84">
        <f t="shared" si="5"/>
        <v>26.981000000000002</v>
      </c>
      <c r="G197" s="25" t="s">
        <v>853</v>
      </c>
      <c r="H197" s="25" t="s">
        <v>705</v>
      </c>
    </row>
    <row r="198" spans="1:8" x14ac:dyDescent="0.25">
      <c r="A198" t="s">
        <v>1046</v>
      </c>
      <c r="B198" s="58">
        <v>1670944</v>
      </c>
      <c r="C198" s="58">
        <v>1822085</v>
      </c>
      <c r="D198" s="70">
        <f t="shared" ref="D198:D220" si="6">(C198-B198)/B198</f>
        <v>9.0452462799471431E-2</v>
      </c>
      <c r="E198" s="44">
        <v>-2.6533901172506003</v>
      </c>
      <c r="F198" s="84">
        <f t="shared" ref="F198:F220" si="7">C198/1000</f>
        <v>1822.085</v>
      </c>
      <c r="G198" s="25" t="s">
        <v>805</v>
      </c>
      <c r="H198" s="25" t="s">
        <v>705</v>
      </c>
    </row>
    <row r="199" spans="1:8" x14ac:dyDescent="0.25">
      <c r="A199" t="s">
        <v>1047</v>
      </c>
      <c r="B199" s="58">
        <v>3705</v>
      </c>
      <c r="C199" s="58">
        <v>4077</v>
      </c>
      <c r="D199" s="70">
        <f t="shared" si="6"/>
        <v>0.10040485829959514</v>
      </c>
      <c r="E199" s="44">
        <v>-2.2358796500336524</v>
      </c>
      <c r="F199" s="84">
        <f t="shared" si="7"/>
        <v>4.077</v>
      </c>
      <c r="G199" s="25" t="s">
        <v>853</v>
      </c>
      <c r="H199" s="25" t="s">
        <v>705</v>
      </c>
    </row>
    <row r="200" spans="1:8" x14ac:dyDescent="0.25">
      <c r="A200" t="s">
        <v>1048</v>
      </c>
      <c r="B200" s="58">
        <v>10782</v>
      </c>
      <c r="C200" s="58">
        <v>11608</v>
      </c>
      <c r="D200" s="70">
        <f t="shared" si="6"/>
        <v>7.6609163420515672E-2</v>
      </c>
      <c r="E200" s="44">
        <v>-1.8657935361016271</v>
      </c>
      <c r="F200" s="84">
        <f t="shared" si="7"/>
        <v>11.608000000000001</v>
      </c>
      <c r="G200" s="25" t="s">
        <v>853</v>
      </c>
      <c r="H200" s="25" t="s">
        <v>705</v>
      </c>
    </row>
    <row r="201" spans="1:8" x14ac:dyDescent="0.25">
      <c r="A201" t="s">
        <v>1049</v>
      </c>
      <c r="B201" s="58">
        <v>43000</v>
      </c>
      <c r="C201" s="58">
        <v>51808</v>
      </c>
      <c r="D201" s="70">
        <f t="shared" si="6"/>
        <v>0.20483720930232557</v>
      </c>
      <c r="E201" s="44">
        <v>-1.6867571419209533</v>
      </c>
      <c r="F201" s="84">
        <f t="shared" si="7"/>
        <v>51.808</v>
      </c>
      <c r="G201" s="25" t="s">
        <v>858</v>
      </c>
      <c r="H201" s="25" t="s">
        <v>705</v>
      </c>
    </row>
    <row r="202" spans="1:8" x14ac:dyDescent="0.25">
      <c r="A202" t="s">
        <v>1050</v>
      </c>
      <c r="B202" s="58">
        <v>7003861</v>
      </c>
      <c r="C202" s="58">
        <v>11607263</v>
      </c>
      <c r="D202" s="70">
        <f t="shared" si="6"/>
        <v>0.65726632781547212</v>
      </c>
      <c r="E202" s="44">
        <v>-1.5161179614117151</v>
      </c>
      <c r="F202" s="84">
        <f t="shared" si="7"/>
        <v>11607.263000000001</v>
      </c>
      <c r="G202" s="25" t="s">
        <v>805</v>
      </c>
      <c r="H202" s="25" t="s">
        <v>705</v>
      </c>
    </row>
    <row r="203" spans="1:8" x14ac:dyDescent="0.25">
      <c r="A203" t="s">
        <v>1051</v>
      </c>
      <c r="B203" s="58">
        <v>398279</v>
      </c>
      <c r="C203" s="58">
        <v>286940</v>
      </c>
      <c r="D203" s="70">
        <f t="shared" si="6"/>
        <v>-0.27955026501522801</v>
      </c>
      <c r="E203" s="44">
        <v>-1.4966278189377302</v>
      </c>
      <c r="F203" s="84">
        <f t="shared" si="7"/>
        <v>286.94</v>
      </c>
      <c r="G203" s="25" t="s">
        <v>853</v>
      </c>
      <c r="H203" s="25" t="s">
        <v>705</v>
      </c>
    </row>
    <row r="204" spans="1:8" x14ac:dyDescent="0.25">
      <c r="A204" t="s">
        <v>1052</v>
      </c>
      <c r="B204" s="58">
        <v>2412</v>
      </c>
      <c r="C204" s="58">
        <v>2692</v>
      </c>
      <c r="D204" s="70">
        <f t="shared" si="6"/>
        <v>0.11608623548922056</v>
      </c>
      <c r="E204" s="44">
        <v>-1.4807463015965787</v>
      </c>
      <c r="F204" s="84">
        <f t="shared" si="7"/>
        <v>2.6920000000000002</v>
      </c>
      <c r="G204" s="25" t="s">
        <v>853</v>
      </c>
      <c r="H204" s="25" t="s">
        <v>705</v>
      </c>
    </row>
    <row r="205" spans="1:8" x14ac:dyDescent="0.25">
      <c r="A205" t="s">
        <v>1053</v>
      </c>
      <c r="B205" s="58">
        <v>245795</v>
      </c>
      <c r="C205" s="58">
        <v>199642</v>
      </c>
      <c r="D205" s="70">
        <f t="shared" si="6"/>
        <v>-0.18777029638519904</v>
      </c>
      <c r="E205" s="44">
        <v>-1.3124319607510522</v>
      </c>
      <c r="F205" s="84">
        <f t="shared" si="7"/>
        <v>199.642</v>
      </c>
      <c r="G205" s="25" t="s">
        <v>853</v>
      </c>
      <c r="H205" s="25" t="s">
        <v>705</v>
      </c>
    </row>
    <row r="206" spans="1:8" x14ac:dyDescent="0.25">
      <c r="A206" t="s">
        <v>1054</v>
      </c>
      <c r="B206" s="58">
        <v>44000</v>
      </c>
      <c r="C206" s="58">
        <v>38693</v>
      </c>
      <c r="D206" s="70">
        <f t="shared" si="6"/>
        <v>-0.12061363636363637</v>
      </c>
      <c r="E206" s="44">
        <v>-1.3068540148617469</v>
      </c>
      <c r="F206" s="84">
        <f t="shared" si="7"/>
        <v>38.692999999999998</v>
      </c>
      <c r="G206" s="25" t="s">
        <v>858</v>
      </c>
      <c r="H206" s="25" t="s">
        <v>705</v>
      </c>
    </row>
    <row r="207" spans="1:8" x14ac:dyDescent="0.25">
      <c r="A207" t="s">
        <v>1055</v>
      </c>
      <c r="B207" s="58">
        <v>9013639</v>
      </c>
      <c r="C207" s="58">
        <v>9874655</v>
      </c>
      <c r="D207" s="70">
        <f t="shared" si="6"/>
        <v>9.5523683608806614E-2</v>
      </c>
      <c r="E207" s="44">
        <v>-1.2422529303468099</v>
      </c>
      <c r="F207" s="84">
        <f t="shared" si="7"/>
        <v>9874.6550000000007</v>
      </c>
      <c r="G207" s="25" t="s">
        <v>805</v>
      </c>
      <c r="H207" s="25" t="s">
        <v>705</v>
      </c>
    </row>
    <row r="208" spans="1:8" x14ac:dyDescent="0.25">
      <c r="A208" t="s">
        <v>1056</v>
      </c>
      <c r="B208" s="58">
        <v>395366</v>
      </c>
      <c r="C208" s="58">
        <v>366337</v>
      </c>
      <c r="D208" s="70">
        <f t="shared" si="6"/>
        <v>-7.3423106691015413E-2</v>
      </c>
      <c r="E208" s="44">
        <v>-1.2005261737769182</v>
      </c>
      <c r="F208" s="84">
        <f t="shared" si="7"/>
        <v>366.33699999999999</v>
      </c>
      <c r="G208" s="25" t="s">
        <v>853</v>
      </c>
      <c r="H208" s="25" t="s">
        <v>705</v>
      </c>
    </row>
    <row r="209" spans="1:8" x14ac:dyDescent="0.25">
      <c r="A209" t="s">
        <v>1057</v>
      </c>
      <c r="B209" s="58">
        <v>821352</v>
      </c>
      <c r="C209" s="58">
        <v>911806</v>
      </c>
      <c r="D209" s="70">
        <f t="shared" si="6"/>
        <v>0.11012817890502488</v>
      </c>
      <c r="E209" s="44">
        <v>-1.1279363369799862</v>
      </c>
      <c r="F209" s="84">
        <f t="shared" si="7"/>
        <v>911.80600000000004</v>
      </c>
      <c r="G209" s="25" t="s">
        <v>853</v>
      </c>
      <c r="H209" s="25" t="s">
        <v>705</v>
      </c>
    </row>
    <row r="210" spans="1:8" x14ac:dyDescent="0.25">
      <c r="A210" t="s">
        <v>1058</v>
      </c>
      <c r="B210" s="58">
        <v>42278</v>
      </c>
      <c r="C210" s="58">
        <v>40328</v>
      </c>
      <c r="D210" s="70">
        <f t="shared" si="6"/>
        <v>-4.6123279246889637E-2</v>
      </c>
      <c r="E210" s="44">
        <v>-0.98479350732808335</v>
      </c>
      <c r="F210" s="84">
        <f t="shared" si="7"/>
        <v>40.328000000000003</v>
      </c>
      <c r="G210" s="25" t="s">
        <v>858</v>
      </c>
      <c r="H210" s="25" t="s">
        <v>705</v>
      </c>
    </row>
    <row r="211" spans="1:8" x14ac:dyDescent="0.25">
      <c r="A211" t="s">
        <v>1059</v>
      </c>
      <c r="B211" s="58">
        <v>662570</v>
      </c>
      <c r="C211" s="58">
        <v>568269</v>
      </c>
      <c r="D211" s="70">
        <f t="shared" si="6"/>
        <v>-0.1423260938466879</v>
      </c>
      <c r="E211" s="44">
        <v>-0.92259651735652781</v>
      </c>
      <c r="F211" s="84">
        <f t="shared" si="7"/>
        <v>568.26900000000001</v>
      </c>
      <c r="G211" s="25" t="s">
        <v>853</v>
      </c>
      <c r="H211" s="25" t="s">
        <v>705</v>
      </c>
    </row>
    <row r="212" spans="1:8" x14ac:dyDescent="0.25">
      <c r="A212" t="s">
        <v>1060</v>
      </c>
      <c r="B212" s="58">
        <v>776856</v>
      </c>
      <c r="C212" s="58">
        <v>748251</v>
      </c>
      <c r="D212" s="70">
        <f t="shared" si="6"/>
        <v>-3.6821495875683521E-2</v>
      </c>
      <c r="E212" s="44">
        <v>-0.9153161887270338</v>
      </c>
      <c r="F212" s="84">
        <f t="shared" si="7"/>
        <v>748.25099999999998</v>
      </c>
      <c r="G212" s="25" t="s">
        <v>853</v>
      </c>
      <c r="H212" s="25" t="s">
        <v>705</v>
      </c>
    </row>
    <row r="213" spans="1:8" x14ac:dyDescent="0.25">
      <c r="A213" t="s">
        <v>1061</v>
      </c>
      <c r="B213" s="58">
        <v>374819</v>
      </c>
      <c r="C213" s="58">
        <v>382150</v>
      </c>
      <c r="D213" s="70">
        <f t="shared" si="6"/>
        <v>1.9558773701439894E-2</v>
      </c>
      <c r="E213" s="44">
        <v>-0.86093012777062938</v>
      </c>
      <c r="F213" s="84">
        <f t="shared" si="7"/>
        <v>382.15</v>
      </c>
      <c r="G213" s="25" t="s">
        <v>853</v>
      </c>
      <c r="H213" s="25" t="s">
        <v>705</v>
      </c>
    </row>
    <row r="214" spans="1:8" x14ac:dyDescent="0.25">
      <c r="A214" t="s">
        <v>1062</v>
      </c>
      <c r="B214" s="58">
        <v>985009</v>
      </c>
      <c r="C214" s="58">
        <v>915229</v>
      </c>
      <c r="D214" s="70">
        <f t="shared" si="6"/>
        <v>-7.084199230666928E-2</v>
      </c>
      <c r="E214" s="44">
        <v>-0.77239349877805097</v>
      </c>
      <c r="F214" s="84">
        <f t="shared" si="7"/>
        <v>915.22900000000004</v>
      </c>
      <c r="G214" s="25" t="s">
        <v>858</v>
      </c>
      <c r="H214" s="25" t="s">
        <v>705</v>
      </c>
    </row>
    <row r="215" spans="1:8" x14ac:dyDescent="0.25">
      <c r="A215" t="s">
        <v>887</v>
      </c>
      <c r="B215" s="58">
        <v>180152</v>
      </c>
      <c r="C215" s="58">
        <v>147358</v>
      </c>
      <c r="D215" s="70">
        <f t="shared" si="6"/>
        <v>-0.18203517030063501</v>
      </c>
      <c r="E215" s="44">
        <v>-0.26065199701342756</v>
      </c>
      <c r="F215" s="84">
        <f t="shared" si="7"/>
        <v>147.358</v>
      </c>
      <c r="H215" s="25" t="s">
        <v>705</v>
      </c>
    </row>
    <row r="216" spans="1:8" x14ac:dyDescent="0.25">
      <c r="A216" t="s">
        <v>1063</v>
      </c>
      <c r="B216" s="58">
        <v>159519</v>
      </c>
      <c r="C216" s="58">
        <v>147597</v>
      </c>
      <c r="D216" s="70">
        <f t="shared" si="6"/>
        <v>-7.4737178643296404E-2</v>
      </c>
      <c r="E216" s="44">
        <v>-0.20718614123363643</v>
      </c>
      <c r="F216" s="84">
        <f t="shared" si="7"/>
        <v>147.59700000000001</v>
      </c>
      <c r="G216" s="25" t="s">
        <v>853</v>
      </c>
      <c r="H216" s="25" t="s">
        <v>705</v>
      </c>
    </row>
    <row r="217" spans="1:8" x14ac:dyDescent="0.25">
      <c r="A217" t="s">
        <v>1064</v>
      </c>
      <c r="B217" s="58">
        <v>193647</v>
      </c>
      <c r="C217" s="58">
        <v>185653</v>
      </c>
      <c r="D217" s="70">
        <f t="shared" si="6"/>
        <v>-4.1281300510723117E-2</v>
      </c>
      <c r="E217" s="44">
        <v>-0.18788106536457327</v>
      </c>
      <c r="F217" s="84">
        <f t="shared" si="7"/>
        <v>185.65299999999999</v>
      </c>
      <c r="G217" s="25" t="s">
        <v>858</v>
      </c>
      <c r="H217" s="25" t="s">
        <v>705</v>
      </c>
    </row>
    <row r="218" spans="1:8" x14ac:dyDescent="0.25">
      <c r="A218" t="s">
        <v>1065</v>
      </c>
      <c r="B218" s="58">
        <v>133988</v>
      </c>
      <c r="C218" s="58">
        <v>125033</v>
      </c>
      <c r="D218" s="70">
        <f t="shared" si="6"/>
        <v>-6.6834343374033489E-2</v>
      </c>
      <c r="E218" s="44">
        <v>0.63233142830882727</v>
      </c>
      <c r="F218" s="84">
        <f t="shared" si="7"/>
        <v>125.033</v>
      </c>
      <c r="G218" s="25" t="s">
        <v>858</v>
      </c>
      <c r="H218" s="25" t="s">
        <v>705</v>
      </c>
    </row>
    <row r="219" spans="1:8" x14ac:dyDescent="0.25">
      <c r="A219" t="s">
        <v>1066</v>
      </c>
      <c r="B219" s="58">
        <v>558600</v>
      </c>
      <c r="C219" s="58">
        <v>485780</v>
      </c>
      <c r="D219" s="70">
        <f t="shared" si="6"/>
        <v>-0.13036161833154314</v>
      </c>
      <c r="E219" s="44">
        <v>1.0964876303098361</v>
      </c>
      <c r="F219" s="84">
        <f t="shared" si="7"/>
        <v>485.78</v>
      </c>
      <c r="G219" s="25" t="s">
        <v>858</v>
      </c>
      <c r="H219" s="25" t="s">
        <v>705</v>
      </c>
    </row>
    <row r="220" spans="1:8" x14ac:dyDescent="0.25">
      <c r="A220" t="s">
        <v>1067</v>
      </c>
      <c r="B220" s="58">
        <v>21</v>
      </c>
      <c r="C220" s="58">
        <v>13</v>
      </c>
      <c r="D220" s="70">
        <f t="shared" si="6"/>
        <v>-0.38095238095238093</v>
      </c>
      <c r="E220" s="44">
        <v>6.9048790503196926</v>
      </c>
      <c r="F220" s="84">
        <f t="shared" si="7"/>
        <v>1.2999999999999999E-2</v>
      </c>
      <c r="G220" s="25" t="s">
        <v>853</v>
      </c>
      <c r="H220" s="25" t="s">
        <v>705</v>
      </c>
    </row>
    <row r="223" spans="1:8" x14ac:dyDescent="0.25">
      <c r="A223" t="s">
        <v>197</v>
      </c>
      <c r="B223" s="186" t="s">
        <v>367</v>
      </c>
    </row>
    <row r="224" spans="1:8" x14ac:dyDescent="0.25">
      <c r="B224" s="186"/>
    </row>
    <row r="225" spans="1:2" x14ac:dyDescent="0.25">
      <c r="A225" t="s">
        <v>205</v>
      </c>
      <c r="B225" s="186" t="s">
        <v>206</v>
      </c>
    </row>
    <row r="226" spans="1:2" x14ac:dyDescent="0.25">
      <c r="B226" s="186"/>
    </row>
    <row r="227" spans="1:2" x14ac:dyDescent="0.25">
      <c r="B227" s="186"/>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6DC2E-B7C7-4052-8AC4-53A624270B89}">
  <sheetPr>
    <tabColor theme="8" tint="0.79998168889431442"/>
  </sheetPr>
  <dimension ref="A1:E12"/>
  <sheetViews>
    <sheetView workbookViewId="0">
      <selection activeCell="E7" sqref="E7"/>
    </sheetView>
  </sheetViews>
  <sheetFormatPr defaultRowHeight="15" x14ac:dyDescent="0.25"/>
  <cols>
    <col min="1" max="1" width="27" customWidth="1"/>
    <col min="2" max="2" width="12.5703125" style="31" customWidth="1"/>
    <col min="3" max="3" width="23.140625" style="31" customWidth="1"/>
    <col min="4" max="4" width="11.42578125" style="31" customWidth="1"/>
    <col min="5" max="5" width="18.140625" style="31" customWidth="1"/>
  </cols>
  <sheetData>
    <row r="1" spans="1:5" x14ac:dyDescent="0.25">
      <c r="A1" s="24" t="s">
        <v>126</v>
      </c>
    </row>
    <row r="2" spans="1:5" x14ac:dyDescent="0.25">
      <c r="A2" t="s">
        <v>127</v>
      </c>
    </row>
    <row r="4" spans="1:5" ht="30" x14ac:dyDescent="0.25">
      <c r="A4" s="33" t="s">
        <v>1068</v>
      </c>
      <c r="B4" s="43" t="s">
        <v>1069</v>
      </c>
      <c r="C4" s="43" t="s">
        <v>1070</v>
      </c>
      <c r="D4" s="43" t="s">
        <v>1071</v>
      </c>
      <c r="E4" s="43" t="s">
        <v>1072</v>
      </c>
    </row>
    <row r="5" spans="1:5" x14ac:dyDescent="0.25">
      <c r="A5" t="s">
        <v>1073</v>
      </c>
      <c r="B5" s="94">
        <v>-5.982683613754306E-3</v>
      </c>
      <c r="C5" s="95">
        <v>-1.321491015558399</v>
      </c>
      <c r="D5" s="94">
        <v>0.6406770045470388</v>
      </c>
      <c r="E5" s="95">
        <v>-2.7592573547955386</v>
      </c>
    </row>
    <row r="6" spans="1:5" x14ac:dyDescent="0.25">
      <c r="A6" t="s">
        <v>1074</v>
      </c>
      <c r="B6" s="94">
        <v>4.1622687155025637E-2</v>
      </c>
      <c r="C6" s="95">
        <v>-1.3413867219636639</v>
      </c>
      <c r="D6" s="94">
        <v>9.8403724666871098E-2</v>
      </c>
      <c r="E6" s="95">
        <v>-1.4323826416421515</v>
      </c>
    </row>
    <row r="7" spans="1:5" x14ac:dyDescent="0.25">
      <c r="A7" t="s">
        <v>1075</v>
      </c>
      <c r="B7" s="94">
        <v>-2.408777533639778E-2</v>
      </c>
      <c r="C7" s="95">
        <v>-0.98451919425063217</v>
      </c>
      <c r="D7" s="94">
        <v>-9.8406920744643231E-2</v>
      </c>
      <c r="E7" s="95">
        <v>-0.97194913660042559</v>
      </c>
    </row>
    <row r="10" spans="1:5" x14ac:dyDescent="0.25">
      <c r="A10" t="s">
        <v>197</v>
      </c>
      <c r="B10" s="28" t="s">
        <v>367</v>
      </c>
    </row>
    <row r="11" spans="1:5" x14ac:dyDescent="0.25">
      <c r="B11" s="28"/>
    </row>
    <row r="12" spans="1:5" x14ac:dyDescent="0.25">
      <c r="A12" t="s">
        <v>205</v>
      </c>
      <c r="B12" s="28" t="s">
        <v>206</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B5B58-BE50-45AD-81F0-B9935C795115}">
  <sheetPr>
    <tabColor theme="8" tint="0.79998168889431442"/>
  </sheetPr>
  <dimension ref="A1:E38"/>
  <sheetViews>
    <sheetView workbookViewId="0">
      <selection activeCell="C42" sqref="C42"/>
    </sheetView>
  </sheetViews>
  <sheetFormatPr defaultRowHeight="15" x14ac:dyDescent="0.25"/>
  <cols>
    <col min="1" max="1" width="27" customWidth="1"/>
    <col min="2" max="2" width="12.5703125" style="54" customWidth="1"/>
    <col min="3" max="3" width="15.5703125" style="54" customWidth="1"/>
    <col min="4" max="4" width="11.42578125" style="31" customWidth="1"/>
    <col min="5" max="5" width="18.140625" style="31" customWidth="1"/>
  </cols>
  <sheetData>
    <row r="1" spans="1:5" x14ac:dyDescent="0.25">
      <c r="A1" s="24" t="s">
        <v>128</v>
      </c>
    </row>
    <row r="2" spans="1:5" x14ac:dyDescent="0.25">
      <c r="A2" t="s">
        <v>129</v>
      </c>
    </row>
    <row r="4" spans="1:5" x14ac:dyDescent="0.25">
      <c r="B4" s="25"/>
      <c r="C4" s="25"/>
      <c r="D4" s="94"/>
      <c r="E4" s="95"/>
    </row>
    <row r="5" spans="1:5" x14ac:dyDescent="0.25">
      <c r="A5" s="99" t="s">
        <v>201</v>
      </c>
      <c r="B5" s="96" t="s">
        <v>1076</v>
      </c>
      <c r="C5" s="96" t="s">
        <v>1077</v>
      </c>
      <c r="D5" s="94"/>
      <c r="E5" s="95"/>
    </row>
    <row r="6" spans="1:5" x14ac:dyDescent="0.25">
      <c r="A6" t="s">
        <v>1078</v>
      </c>
      <c r="B6" s="58">
        <v>25151.437000000002</v>
      </c>
      <c r="C6" s="58">
        <v>23183.087</v>
      </c>
      <c r="D6" s="94"/>
      <c r="E6" s="95"/>
    </row>
    <row r="7" spans="1:5" x14ac:dyDescent="0.25">
      <c r="A7" t="s">
        <v>1079</v>
      </c>
      <c r="B7" s="58">
        <v>11213.025</v>
      </c>
      <c r="C7" s="58">
        <v>14762.57</v>
      </c>
    </row>
    <row r="8" spans="1:5" x14ac:dyDescent="0.25">
      <c r="A8" t="s">
        <v>1080</v>
      </c>
      <c r="B8" s="58">
        <v>1553.819</v>
      </c>
      <c r="C8" s="58">
        <v>2513.38</v>
      </c>
    </row>
    <row r="9" spans="1:5" x14ac:dyDescent="0.25">
      <c r="A9" t="s">
        <v>1081</v>
      </c>
      <c r="B9" s="58">
        <v>3179.2919999999999</v>
      </c>
      <c r="C9" s="58">
        <v>2060.6350000000002</v>
      </c>
    </row>
    <row r="10" spans="1:5" x14ac:dyDescent="0.25">
      <c r="A10" t="s">
        <v>459</v>
      </c>
      <c r="B10" s="58">
        <v>49.750999999996566</v>
      </c>
      <c r="C10" s="58">
        <v>37.571000000003551</v>
      </c>
    </row>
    <row r="11" spans="1:5" x14ac:dyDescent="0.25">
      <c r="B11" s="58"/>
      <c r="C11" s="58"/>
    </row>
    <row r="12" spans="1:5" x14ac:dyDescent="0.25">
      <c r="A12" t="s">
        <v>1082</v>
      </c>
      <c r="B12" s="98">
        <v>21559.255000000001</v>
      </c>
      <c r="C12" s="98">
        <v>29769.698</v>
      </c>
    </row>
    <row r="15" spans="1:5" x14ac:dyDescent="0.25">
      <c r="A15" s="99" t="s">
        <v>199</v>
      </c>
      <c r="B15" s="96" t="s">
        <v>1076</v>
      </c>
      <c r="C15" s="96" t="s">
        <v>1077</v>
      </c>
    </row>
    <row r="16" spans="1:5" x14ac:dyDescent="0.25">
      <c r="A16" t="s">
        <v>1078</v>
      </c>
      <c r="B16" s="98">
        <v>20385.422999999999</v>
      </c>
      <c r="C16" s="98">
        <v>16352.213</v>
      </c>
    </row>
    <row r="17" spans="1:3" x14ac:dyDescent="0.25">
      <c r="A17" t="s">
        <v>1083</v>
      </c>
      <c r="B17" s="98">
        <v>7242.7979999999998</v>
      </c>
      <c r="C17" s="98">
        <v>12087.337</v>
      </c>
    </row>
    <row r="18" spans="1:3" x14ac:dyDescent="0.25">
      <c r="A18" t="s">
        <v>1084</v>
      </c>
      <c r="B18" s="98">
        <v>6951.6</v>
      </c>
      <c r="C18" s="98">
        <v>6095.7309999999998</v>
      </c>
    </row>
    <row r="19" spans="1:3" x14ac:dyDescent="0.25">
      <c r="A19" t="s">
        <v>1080</v>
      </c>
      <c r="B19" s="98">
        <v>1293.0239999999999</v>
      </c>
      <c r="C19" s="98">
        <v>1429.289</v>
      </c>
    </row>
    <row r="20" spans="1:3" x14ac:dyDescent="0.25">
      <c r="A20" t="s">
        <v>1081</v>
      </c>
      <c r="B20" s="98">
        <v>1340.252</v>
      </c>
      <c r="C20" s="98">
        <v>1182.67</v>
      </c>
    </row>
    <row r="21" spans="1:3" x14ac:dyDescent="0.25">
      <c r="A21" t="s">
        <v>459</v>
      </c>
      <c r="B21" s="98">
        <v>84.518000000003667</v>
      </c>
      <c r="C21" s="98">
        <v>81.709999999999127</v>
      </c>
    </row>
    <row r="22" spans="1:3" x14ac:dyDescent="0.25">
      <c r="B22" s="98"/>
      <c r="C22" s="98"/>
    </row>
    <row r="23" spans="1:3" x14ac:dyDescent="0.25">
      <c r="A23" t="s">
        <v>1082</v>
      </c>
      <c r="B23" s="98">
        <v>30383.19</v>
      </c>
      <c r="C23" s="98">
        <v>35191.044999999998</v>
      </c>
    </row>
    <row r="26" spans="1:3" x14ac:dyDescent="0.25">
      <c r="A26" s="99" t="s">
        <v>232</v>
      </c>
      <c r="B26" s="97" t="s">
        <v>1076</v>
      </c>
      <c r="C26" s="97" t="s">
        <v>1077</v>
      </c>
    </row>
    <row r="27" spans="1:3" x14ac:dyDescent="0.25">
      <c r="A27" t="s">
        <v>1078</v>
      </c>
      <c r="B27" s="98">
        <v>14691.665000000001</v>
      </c>
      <c r="C27" s="98">
        <v>8431.8340000000007</v>
      </c>
    </row>
    <row r="28" spans="1:3" x14ac:dyDescent="0.25">
      <c r="A28" t="s">
        <v>1083</v>
      </c>
      <c r="B28" s="98">
        <v>8257.9869999999992</v>
      </c>
      <c r="C28" s="98">
        <v>19422.21</v>
      </c>
    </row>
    <row r="29" spans="1:3" x14ac:dyDescent="0.25">
      <c r="A29" t="s">
        <v>1080</v>
      </c>
      <c r="B29" s="98">
        <v>11986.793</v>
      </c>
      <c r="C29" s="98">
        <v>11648.555</v>
      </c>
    </row>
    <row r="30" spans="1:3" x14ac:dyDescent="0.25">
      <c r="A30" t="s">
        <v>1081</v>
      </c>
      <c r="B30" s="98">
        <v>158.18</v>
      </c>
      <c r="C30" s="98">
        <v>153.21100000000001</v>
      </c>
    </row>
    <row r="31" spans="1:3" x14ac:dyDescent="0.25">
      <c r="A31" t="s">
        <v>459</v>
      </c>
      <c r="B31" s="98">
        <v>79.885000000002037</v>
      </c>
      <c r="C31" s="98">
        <v>41.48399999999674</v>
      </c>
    </row>
    <row r="32" spans="1:3" x14ac:dyDescent="0.25">
      <c r="B32" s="98"/>
      <c r="C32" s="98"/>
    </row>
    <row r="33" spans="1:3" x14ac:dyDescent="0.25">
      <c r="A33" t="s">
        <v>1082</v>
      </c>
      <c r="B33" s="98">
        <v>24880.133999999998</v>
      </c>
      <c r="C33" s="98">
        <v>30296.353999999999</v>
      </c>
    </row>
    <row r="36" spans="1:3" x14ac:dyDescent="0.25">
      <c r="A36" t="s">
        <v>197</v>
      </c>
      <c r="B36" s="28" t="s">
        <v>1085</v>
      </c>
    </row>
    <row r="37" spans="1:3" x14ac:dyDescent="0.25">
      <c r="B37" s="28"/>
    </row>
    <row r="38" spans="1:3" x14ac:dyDescent="0.25">
      <c r="A38" t="s">
        <v>205</v>
      </c>
      <c r="B38" s="28" t="s">
        <v>206</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00666-1BA0-4712-93A6-B71AE51B55AB}">
  <sheetPr>
    <tabColor theme="8" tint="0.79998168889431442"/>
  </sheetPr>
  <dimension ref="A1:E19"/>
  <sheetViews>
    <sheetView workbookViewId="0">
      <selection activeCell="C14" sqref="C14"/>
    </sheetView>
  </sheetViews>
  <sheetFormatPr defaultRowHeight="15" x14ac:dyDescent="0.25"/>
  <cols>
    <col min="1" max="1" width="14" customWidth="1"/>
    <col min="2" max="3" width="19.5703125" style="54" customWidth="1"/>
    <col min="4" max="4" width="11.42578125" style="31" customWidth="1"/>
    <col min="5" max="5" width="18.140625" style="31" customWidth="1"/>
  </cols>
  <sheetData>
    <row r="1" spans="1:5" x14ac:dyDescent="0.25">
      <c r="A1" s="24" t="s">
        <v>130</v>
      </c>
    </row>
    <row r="2" spans="1:5" x14ac:dyDescent="0.25">
      <c r="A2" t="s">
        <v>131</v>
      </c>
    </row>
    <row r="4" spans="1:5" x14ac:dyDescent="0.25">
      <c r="A4" s="29" t="s">
        <v>158</v>
      </c>
      <c r="B4" s="43" t="s">
        <v>1086</v>
      </c>
      <c r="C4" s="43" t="s">
        <v>1087</v>
      </c>
      <c r="D4" s="94"/>
      <c r="E4" s="95"/>
    </row>
    <row r="5" spans="1:5" x14ac:dyDescent="0.25">
      <c r="A5" s="102" t="s">
        <v>1088</v>
      </c>
      <c r="B5" s="103">
        <v>172.09</v>
      </c>
      <c r="C5" s="145">
        <f>B5*('Inflation adjustment'!$F$20/'Inflation adjustment'!$F13)</f>
        <v>220.63570856248532</v>
      </c>
      <c r="D5" s="94"/>
      <c r="E5" s="95"/>
    </row>
    <row r="6" spans="1:5" x14ac:dyDescent="0.25">
      <c r="A6" s="102" t="s">
        <v>1089</v>
      </c>
      <c r="B6" s="104">
        <v>109.82</v>
      </c>
      <c r="C6" s="145">
        <f>B6*('Inflation adjustment'!$F$20/'Inflation adjustment'!$F14)</f>
        <v>138.29380873592351</v>
      </c>
    </row>
    <row r="7" spans="1:5" x14ac:dyDescent="0.25">
      <c r="A7" s="102" t="s">
        <v>1090</v>
      </c>
      <c r="B7" s="104">
        <v>111.07</v>
      </c>
      <c r="C7" s="145">
        <f>B7*('Inflation adjustment'!$F$20/'Inflation adjustment'!$F15)</f>
        <v>138.16340499437814</v>
      </c>
    </row>
    <row r="8" spans="1:5" x14ac:dyDescent="0.25">
      <c r="A8" s="102" t="s">
        <v>1091</v>
      </c>
      <c r="B8" s="104">
        <v>147.33000000000001</v>
      </c>
      <c r="C8" s="145">
        <f>B8*('Inflation adjustment'!$F$20/'Inflation adjustment'!$F16)</f>
        <v>175.04469937631472</v>
      </c>
    </row>
    <row r="9" spans="1:5" x14ac:dyDescent="0.25">
      <c r="A9" s="102" t="s">
        <v>1092</v>
      </c>
      <c r="B9" s="104">
        <v>72.33</v>
      </c>
      <c r="C9" s="145">
        <f>B9*('Inflation adjustment'!$F$20/'Inflation adjustment'!$F17)</f>
        <v>79.568560899352477</v>
      </c>
    </row>
    <row r="10" spans="1:5" x14ac:dyDescent="0.25">
      <c r="A10" s="102" t="s">
        <v>1093</v>
      </c>
      <c r="B10" s="104">
        <v>42.01</v>
      </c>
      <c r="C10" s="145">
        <f>B10*('Inflation adjustment'!$F$20/'Inflation adjustment'!$F18)</f>
        <v>44.387058273329345</v>
      </c>
    </row>
    <row r="11" spans="1:5" x14ac:dyDescent="0.25">
      <c r="A11" s="102" t="s">
        <v>1094</v>
      </c>
      <c r="B11" s="104">
        <v>45.57</v>
      </c>
      <c r="C11" s="145">
        <f>B11*('Inflation adjustment'!$F$20/'Inflation adjustment'!$F19)</f>
        <v>46.769069077972127</v>
      </c>
    </row>
    <row r="12" spans="1:5" x14ac:dyDescent="0.25">
      <c r="A12" s="102" t="s">
        <v>1095</v>
      </c>
      <c r="B12" s="104">
        <v>296.98</v>
      </c>
      <c r="C12" s="145">
        <f>B12*('Inflation adjustment'!$F$20/'Inflation adjustment'!$F20)</f>
        <v>296.98</v>
      </c>
    </row>
    <row r="13" spans="1:5" x14ac:dyDescent="0.25">
      <c r="A13" s="102" t="s">
        <v>1096</v>
      </c>
      <c r="B13" s="104">
        <v>329.17</v>
      </c>
      <c r="C13" s="145">
        <f>B13*('Inflation adjustment'!$F$20/'Inflation adjustment'!$F21)</f>
        <v>320.20428015564204</v>
      </c>
    </row>
    <row r="14" spans="1:5" x14ac:dyDescent="0.25">
      <c r="A14" s="102" t="s">
        <v>1097</v>
      </c>
      <c r="B14" s="104">
        <v>333.44</v>
      </c>
      <c r="C14" s="145">
        <f>B14*('Inflation adjustment'!$F$20/'Inflation adjustment'!$F22)</f>
        <v>316.75583657587543</v>
      </c>
    </row>
    <row r="15" spans="1:5" x14ac:dyDescent="0.25">
      <c r="A15" s="102"/>
      <c r="B15" s="104"/>
      <c r="C15" s="145"/>
    </row>
    <row r="16" spans="1:5" x14ac:dyDescent="0.25">
      <c r="A16" s="30"/>
      <c r="B16" s="100"/>
      <c r="C16" s="100"/>
    </row>
    <row r="17" spans="1:3" s="31" customFormat="1" x14ac:dyDescent="0.25">
      <c r="A17" t="s">
        <v>197</v>
      </c>
      <c r="B17" s="28" t="s">
        <v>1098</v>
      </c>
    </row>
    <row r="18" spans="1:3" s="31" customFormat="1" x14ac:dyDescent="0.25">
      <c r="A18"/>
      <c r="B18" s="28"/>
      <c r="C18" s="144"/>
    </row>
    <row r="19" spans="1:3" s="31" customFormat="1" x14ac:dyDescent="0.25">
      <c r="A19" t="s">
        <v>205</v>
      </c>
      <c r="B19" s="28" t="s">
        <v>516</v>
      </c>
      <c r="C19" s="54"/>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AEA43-536E-4FB5-9306-87542BAE0EC4}">
  <sheetPr>
    <tabColor theme="8" tint="0.79998168889431442"/>
  </sheetPr>
  <dimension ref="A1:R26"/>
  <sheetViews>
    <sheetView workbookViewId="0">
      <selection activeCell="G36" sqref="G35:G36"/>
    </sheetView>
  </sheetViews>
  <sheetFormatPr defaultRowHeight="15" x14ac:dyDescent="0.25"/>
  <cols>
    <col min="1" max="2" width="14" customWidth="1"/>
    <col min="3" max="3" width="15.140625" customWidth="1"/>
    <col min="4" max="6" width="14" customWidth="1"/>
    <col min="7" max="8" width="20" style="54" customWidth="1"/>
    <col min="9" max="9" width="20" style="31" customWidth="1"/>
    <col min="10" max="10" width="11.42578125" style="31" customWidth="1"/>
    <col min="11" max="11" width="16" style="31" customWidth="1"/>
    <col min="12" max="12" width="16" customWidth="1"/>
    <col min="14" max="17" width="12.7109375" customWidth="1"/>
  </cols>
  <sheetData>
    <row r="1" spans="1:18" x14ac:dyDescent="0.25">
      <c r="A1" s="24" t="s">
        <v>132</v>
      </c>
      <c r="B1" s="24"/>
      <c r="C1" s="24"/>
      <c r="D1" s="24"/>
      <c r="E1" s="24"/>
      <c r="F1" s="24"/>
    </row>
    <row r="2" spans="1:18" x14ac:dyDescent="0.25">
      <c r="A2" t="s">
        <v>133</v>
      </c>
    </row>
    <row r="4" spans="1:18" ht="30" x14ac:dyDescent="0.25">
      <c r="A4" s="29" t="s">
        <v>158</v>
      </c>
      <c r="B4" s="43" t="s">
        <v>1099</v>
      </c>
      <c r="C4" s="43" t="s">
        <v>1100</v>
      </c>
      <c r="D4" s="43" t="s">
        <v>1101</v>
      </c>
      <c r="E4" s="43" t="s">
        <v>1102</v>
      </c>
      <c r="F4" s="29"/>
      <c r="G4" s="43" t="s">
        <v>1103</v>
      </c>
      <c r="H4" s="43" t="s">
        <v>1104</v>
      </c>
      <c r="I4" s="106" t="s">
        <v>1105</v>
      </c>
      <c r="J4" s="106" t="s">
        <v>1106</v>
      </c>
      <c r="K4" s="107" t="s">
        <v>1107</v>
      </c>
      <c r="L4" s="43" t="s">
        <v>1108</v>
      </c>
    </row>
    <row r="5" spans="1:18" x14ac:dyDescent="0.25">
      <c r="A5" s="102">
        <v>2010</v>
      </c>
      <c r="B5" s="46">
        <f>(G5-G$5)/G$5</f>
        <v>0</v>
      </c>
      <c r="C5" s="46">
        <f>(H5-H$5)/H$5</f>
        <v>0</v>
      </c>
      <c r="D5" s="46">
        <f>(I5-I$5)/I$5</f>
        <v>0</v>
      </c>
      <c r="E5" s="46">
        <f>(J5-J$5)/J$5</f>
        <v>0</v>
      </c>
      <c r="F5" s="102"/>
      <c r="G5" s="109">
        <v>11.54</v>
      </c>
      <c r="H5" s="110">
        <v>10.19</v>
      </c>
      <c r="I5" s="88">
        <v>6.77</v>
      </c>
      <c r="J5" s="88">
        <f>tblCPI[[#This Row],[National]]</f>
        <v>218.05600000000001</v>
      </c>
      <c r="K5" s="108">
        <f>H5/G5</f>
        <v>0.88301559792027728</v>
      </c>
      <c r="L5" s="45">
        <f>I5/G5</f>
        <v>0.58665511265164649</v>
      </c>
    </row>
    <row r="6" spans="1:18" x14ac:dyDescent="0.25">
      <c r="A6" s="102">
        <v>2011</v>
      </c>
      <c r="B6" s="46">
        <f t="shared" ref="B6:B20" si="0">(G6-G$5)/G$5</f>
        <v>1.5597920277296491E-2</v>
      </c>
      <c r="C6" s="46">
        <f t="shared" ref="C6:C20" si="1">(H6-H$5)/H$5</f>
        <v>4.9067713444554181E-3</v>
      </c>
      <c r="D6" s="46">
        <f t="shared" ref="D6:D20" si="2">(I6-I$5)/I$5</f>
        <v>7.3855243722305338E-3</v>
      </c>
      <c r="E6" s="46">
        <f t="shared" ref="E6:E20" si="3">(J6-J$5)/J$5</f>
        <v>3.1565285981582626E-2</v>
      </c>
      <c r="F6" s="102"/>
      <c r="G6" s="109">
        <v>11.72</v>
      </c>
      <c r="H6" s="110">
        <v>10.24</v>
      </c>
      <c r="I6" s="61">
        <v>6.82</v>
      </c>
      <c r="J6" s="88">
        <f>tblCPI[[#This Row],[National]]</f>
        <v>224.93899999999999</v>
      </c>
      <c r="K6" s="108">
        <f t="shared" ref="K6:K19" si="4">H6/G6</f>
        <v>0.87372013651877134</v>
      </c>
      <c r="L6" s="45">
        <f t="shared" ref="L6:L19" si="5">I6/G6</f>
        <v>0.58191126279863481</v>
      </c>
    </row>
    <row r="7" spans="1:18" x14ac:dyDescent="0.25">
      <c r="A7" s="102">
        <v>2012</v>
      </c>
      <c r="B7" s="46">
        <f t="shared" si="0"/>
        <v>2.9462738301559935E-2</v>
      </c>
      <c r="C7" s="46">
        <f t="shared" si="1"/>
        <v>-9.8135426889106626E-3</v>
      </c>
      <c r="D7" s="46">
        <f t="shared" si="2"/>
        <v>-1.4771048744460806E-2</v>
      </c>
      <c r="E7" s="46">
        <f t="shared" si="3"/>
        <v>5.2913013170928488E-2</v>
      </c>
      <c r="F7" s="102"/>
      <c r="G7" s="109">
        <v>11.88</v>
      </c>
      <c r="H7" s="110">
        <v>10.09</v>
      </c>
      <c r="I7" s="61">
        <v>6.67</v>
      </c>
      <c r="J7" s="88">
        <f>tblCPI[[#This Row],[National]]</f>
        <v>229.59399999999999</v>
      </c>
      <c r="K7" s="108">
        <f t="shared" si="4"/>
        <v>0.84932659932659926</v>
      </c>
      <c r="L7" s="45">
        <f t="shared" si="5"/>
        <v>0.56144781144781142</v>
      </c>
      <c r="R7" s="25"/>
    </row>
    <row r="8" spans="1:18" x14ac:dyDescent="0.25">
      <c r="A8" s="102">
        <v>2013</v>
      </c>
      <c r="B8" s="46">
        <f t="shared" si="0"/>
        <v>5.1126516464471548E-2</v>
      </c>
      <c r="C8" s="46">
        <f t="shared" si="1"/>
        <v>6.8694798822375161E-3</v>
      </c>
      <c r="D8" s="46">
        <f t="shared" si="2"/>
        <v>1.7725258493353047E-2</v>
      </c>
      <c r="E8" s="46">
        <f t="shared" si="3"/>
        <v>6.8335656895476299E-2</v>
      </c>
      <c r="F8" s="102"/>
      <c r="G8" s="109">
        <v>12.13</v>
      </c>
      <c r="H8" s="110">
        <v>10.26</v>
      </c>
      <c r="I8" s="61">
        <v>6.89</v>
      </c>
      <c r="J8" s="88">
        <f>tblCPI[[#This Row],[National]]</f>
        <v>232.95699999999999</v>
      </c>
      <c r="K8" s="108">
        <f t="shared" si="4"/>
        <v>0.8458367683429513</v>
      </c>
      <c r="L8" s="45">
        <f>I8/G8</f>
        <v>0.56801319043693321</v>
      </c>
      <c r="R8" s="25"/>
    </row>
    <row r="9" spans="1:18" x14ac:dyDescent="0.25">
      <c r="A9" s="102">
        <v>2014</v>
      </c>
      <c r="B9" s="46">
        <f t="shared" si="0"/>
        <v>8.4922010398613565E-2</v>
      </c>
      <c r="C9" s="46">
        <f t="shared" si="1"/>
        <v>5.3974484789008903E-2</v>
      </c>
      <c r="D9" s="46">
        <f t="shared" si="2"/>
        <v>4.8744460856720843E-2</v>
      </c>
      <c r="E9" s="46">
        <f t="shared" si="3"/>
        <v>8.5666067432219148E-2</v>
      </c>
      <c r="F9" s="102"/>
      <c r="G9" s="109">
        <v>12.52</v>
      </c>
      <c r="H9" s="110">
        <v>10.74</v>
      </c>
      <c r="I9" s="61">
        <v>7.1</v>
      </c>
      <c r="J9" s="88">
        <f>tblCPI[[#This Row],[National]]</f>
        <v>236.73599999999999</v>
      </c>
      <c r="K9" s="108">
        <f t="shared" si="4"/>
        <v>0.85782747603833875</v>
      </c>
      <c r="L9" s="45">
        <f t="shared" si="5"/>
        <v>0.56709265175718848</v>
      </c>
      <c r="R9" s="25"/>
    </row>
    <row r="10" spans="1:18" x14ac:dyDescent="0.25">
      <c r="A10" s="102">
        <v>2015</v>
      </c>
      <c r="B10" s="46">
        <f t="shared" si="0"/>
        <v>9.6187175043327675E-2</v>
      </c>
      <c r="C10" s="46">
        <f t="shared" si="1"/>
        <v>4.4160942100098244E-2</v>
      </c>
      <c r="D10" s="46">
        <f t="shared" si="2"/>
        <v>2.0679468242245286E-2</v>
      </c>
      <c r="E10" s="46">
        <f t="shared" si="3"/>
        <v>8.6954727226033604E-2</v>
      </c>
      <c r="F10" s="102"/>
      <c r="G10" s="109">
        <v>12.65</v>
      </c>
      <c r="H10" s="110">
        <v>10.64</v>
      </c>
      <c r="I10" s="61">
        <v>6.91</v>
      </c>
      <c r="J10" s="88">
        <f>tblCPI[[#This Row],[National]]</f>
        <v>237.017</v>
      </c>
      <c r="K10" s="108">
        <f t="shared" si="4"/>
        <v>0.84110671936758896</v>
      </c>
      <c r="L10" s="45">
        <f t="shared" si="5"/>
        <v>0.5462450592885375</v>
      </c>
      <c r="R10" s="25"/>
    </row>
    <row r="11" spans="1:18" x14ac:dyDescent="0.25">
      <c r="A11" s="102">
        <v>2016</v>
      </c>
      <c r="B11" s="46">
        <f t="shared" si="0"/>
        <v>8.7521663778163047E-2</v>
      </c>
      <c r="C11" s="46">
        <f t="shared" si="1"/>
        <v>2.3552502453385693E-2</v>
      </c>
      <c r="D11" s="46">
        <f t="shared" si="2"/>
        <v>-1.4771048744460543E-3</v>
      </c>
      <c r="E11" s="46">
        <f t="shared" si="3"/>
        <v>0.10066680118868544</v>
      </c>
      <c r="F11" s="102"/>
      <c r="G11" s="109">
        <v>12.55</v>
      </c>
      <c r="H11" s="110">
        <v>10.43</v>
      </c>
      <c r="I11" s="61">
        <v>6.76</v>
      </c>
      <c r="J11" s="88">
        <f>tblCPI[[#This Row],[National]]</f>
        <v>240.00700000000001</v>
      </c>
      <c r="K11" s="108">
        <f t="shared" si="4"/>
        <v>0.83107569721115526</v>
      </c>
      <c r="L11" s="45">
        <f t="shared" si="5"/>
        <v>0.53864541832669321</v>
      </c>
      <c r="R11" s="25"/>
    </row>
    <row r="12" spans="1:18" x14ac:dyDescent="0.25">
      <c r="A12" s="102">
        <v>2017</v>
      </c>
      <c r="B12" s="46">
        <f t="shared" si="0"/>
        <v>0.11698440207972284</v>
      </c>
      <c r="C12" s="46">
        <f t="shared" si="1"/>
        <v>4.6123650637880341E-2</v>
      </c>
      <c r="D12" s="46">
        <f t="shared" si="2"/>
        <v>1.6248153618906989E-2</v>
      </c>
      <c r="E12" s="46">
        <f t="shared" si="3"/>
        <v>0.1241149062626114</v>
      </c>
      <c r="F12" s="102"/>
      <c r="G12" s="109">
        <v>12.89</v>
      </c>
      <c r="H12" s="110">
        <v>10.66</v>
      </c>
      <c r="I12" s="61">
        <v>6.88</v>
      </c>
      <c r="J12" s="88">
        <f>tblCPI[[#This Row],[National]]</f>
        <v>245.12</v>
      </c>
      <c r="K12" s="108">
        <f t="shared" si="4"/>
        <v>0.8269976726144298</v>
      </c>
      <c r="L12" s="45">
        <f t="shared" si="5"/>
        <v>0.53374709076803717</v>
      </c>
      <c r="R12" s="25"/>
    </row>
    <row r="13" spans="1:18" x14ac:dyDescent="0.25">
      <c r="A13" s="102">
        <v>2018</v>
      </c>
      <c r="B13" s="46">
        <f t="shared" si="0"/>
        <v>0.11525129982668979</v>
      </c>
      <c r="C13" s="46">
        <f t="shared" si="1"/>
        <v>4.7105004906771386E-2</v>
      </c>
      <c r="D13" s="46">
        <f t="shared" si="2"/>
        <v>2.2156573116691339E-2</v>
      </c>
      <c r="E13" s="46">
        <f t="shared" si="3"/>
        <v>0.15157115603331248</v>
      </c>
      <c r="F13" s="102"/>
      <c r="G13" s="109">
        <v>12.87</v>
      </c>
      <c r="H13" s="110">
        <v>10.67</v>
      </c>
      <c r="I13" s="61">
        <v>6.92</v>
      </c>
      <c r="J13" s="88">
        <f>tblCPI[[#This Row],[National]]</f>
        <v>251.107</v>
      </c>
      <c r="K13" s="108">
        <f t="shared" si="4"/>
        <v>0.82905982905982911</v>
      </c>
      <c r="L13" s="45">
        <f t="shared" si="5"/>
        <v>0.53768453768453772</v>
      </c>
      <c r="R13" s="111"/>
    </row>
    <row r="14" spans="1:18" x14ac:dyDescent="0.25">
      <c r="A14" s="102">
        <v>2019</v>
      </c>
      <c r="B14" s="46">
        <f t="shared" si="0"/>
        <v>0.12738301559792034</v>
      </c>
      <c r="C14" s="46">
        <f t="shared" si="1"/>
        <v>4.8086359175662438E-2</v>
      </c>
      <c r="D14" s="46">
        <f t="shared" si="2"/>
        <v>5.9084194977843483E-3</v>
      </c>
      <c r="E14" s="46">
        <f t="shared" si="3"/>
        <v>0.1724373555416957</v>
      </c>
      <c r="F14" s="102"/>
      <c r="G14" s="109">
        <v>13.01</v>
      </c>
      <c r="H14" s="110">
        <v>10.68</v>
      </c>
      <c r="I14" s="61">
        <v>6.81</v>
      </c>
      <c r="J14" s="88">
        <f>tblCPI[[#This Row],[National]]</f>
        <v>255.65700000000001</v>
      </c>
      <c r="K14" s="108">
        <f t="shared" si="4"/>
        <v>0.82090699461952343</v>
      </c>
      <c r="L14" s="45">
        <f t="shared" si="5"/>
        <v>0.52344350499615677</v>
      </c>
    </row>
    <row r="15" spans="1:18" x14ac:dyDescent="0.25">
      <c r="A15" s="102">
        <v>2020</v>
      </c>
      <c r="B15" s="46">
        <f t="shared" si="0"/>
        <v>0.13951473136915091</v>
      </c>
      <c r="C15" s="46">
        <f t="shared" si="1"/>
        <v>3.9254170755642824E-2</v>
      </c>
      <c r="D15" s="46">
        <f t="shared" si="2"/>
        <v>-1.4771048744460806E-2</v>
      </c>
      <c r="E15" s="46">
        <f t="shared" si="3"/>
        <v>0.18690152988223194</v>
      </c>
      <c r="F15" s="102"/>
      <c r="G15" s="109">
        <v>13.15</v>
      </c>
      <c r="H15" s="110">
        <v>10.59</v>
      </c>
      <c r="I15" s="61">
        <v>6.67</v>
      </c>
      <c r="J15" s="88">
        <f>tblCPI[[#This Row],[National]]</f>
        <v>258.81099999999998</v>
      </c>
      <c r="K15" s="108">
        <f t="shared" si="4"/>
        <v>0.80532319391634977</v>
      </c>
      <c r="L15" s="45">
        <f t="shared" si="5"/>
        <v>0.50722433460076044</v>
      </c>
    </row>
    <row r="16" spans="1:18" x14ac:dyDescent="0.25">
      <c r="A16" s="102">
        <v>2021</v>
      </c>
      <c r="B16" s="46">
        <f t="shared" si="0"/>
        <v>0.18370883882149056</v>
      </c>
      <c r="C16" s="46">
        <f t="shared" si="1"/>
        <v>0.10107948969578029</v>
      </c>
      <c r="D16" s="46">
        <f t="shared" si="2"/>
        <v>6.0561299852289537E-2</v>
      </c>
      <c r="E16" s="46">
        <f t="shared" si="3"/>
        <v>0.24266243533771148</v>
      </c>
      <c r="F16" s="102"/>
      <c r="G16" s="109">
        <v>13.66</v>
      </c>
      <c r="H16" s="110">
        <v>11.22</v>
      </c>
      <c r="I16" s="61">
        <v>7.18</v>
      </c>
      <c r="J16" s="88">
        <f>tblCPI[[#This Row],[National]]</f>
        <v>270.97000000000003</v>
      </c>
      <c r="K16" s="108">
        <f t="shared" si="4"/>
        <v>0.82137628111273797</v>
      </c>
      <c r="L16" s="45">
        <f t="shared" si="5"/>
        <v>0.52562225475841873</v>
      </c>
    </row>
    <row r="17" spans="1:12" x14ac:dyDescent="0.25">
      <c r="A17" s="102">
        <v>2022</v>
      </c>
      <c r="B17" s="46">
        <f t="shared" si="0"/>
        <v>0.30329289428076261</v>
      </c>
      <c r="C17" s="46">
        <f t="shared" si="1"/>
        <v>0.21786064769381755</v>
      </c>
      <c r="D17" s="46">
        <f t="shared" si="2"/>
        <v>0.22895125553914339</v>
      </c>
      <c r="E17" s="46">
        <f t="shared" si="3"/>
        <v>0.34210936640129119</v>
      </c>
      <c r="F17" s="102"/>
      <c r="G17" s="109">
        <v>15.04</v>
      </c>
      <c r="H17" s="110">
        <v>12.41</v>
      </c>
      <c r="I17" s="61">
        <v>8.32</v>
      </c>
      <c r="J17" s="88">
        <f>tblCPI[[#This Row],[National]]</f>
        <v>292.65499999999997</v>
      </c>
      <c r="K17" s="108">
        <f t="shared" si="4"/>
        <v>0.8251329787234043</v>
      </c>
      <c r="L17" s="45">
        <f t="shared" si="5"/>
        <v>0.55319148936170215</v>
      </c>
    </row>
    <row r="18" spans="1:12" x14ac:dyDescent="0.25">
      <c r="A18" s="102">
        <v>2023</v>
      </c>
      <c r="B18" s="46">
        <f t="shared" si="0"/>
        <v>0.38648180242634328</v>
      </c>
      <c r="C18" s="46">
        <f t="shared" si="1"/>
        <v>0.23552502453385676</v>
      </c>
      <c r="D18" s="46">
        <f t="shared" si="2"/>
        <v>0.18759231905465282</v>
      </c>
      <c r="E18" s="46">
        <f t="shared" si="3"/>
        <v>0.39735664233041046</v>
      </c>
      <c r="F18" s="102"/>
      <c r="G18" s="109">
        <v>16</v>
      </c>
      <c r="H18" s="110">
        <v>12.59</v>
      </c>
      <c r="I18" s="61">
        <v>8.0399999999999991</v>
      </c>
      <c r="J18" s="88">
        <f>tblCPI[[#This Row],[National]]</f>
        <v>304.702</v>
      </c>
      <c r="K18" s="108">
        <f t="shared" si="4"/>
        <v>0.78687499999999999</v>
      </c>
      <c r="L18" s="45">
        <f t="shared" si="5"/>
        <v>0.50249999999999995</v>
      </c>
    </row>
    <row r="19" spans="1:12" x14ac:dyDescent="0.25">
      <c r="A19" s="102">
        <v>2024</v>
      </c>
      <c r="B19" s="46">
        <f t="shared" si="0"/>
        <v>0.42807625649913361</v>
      </c>
      <c r="C19" s="46">
        <f t="shared" si="1"/>
        <v>0.25122669283611387</v>
      </c>
      <c r="D19" s="46">
        <f t="shared" si="2"/>
        <v>0.20088626292466785</v>
      </c>
      <c r="E19" s="46">
        <f t="shared" si="3"/>
        <v>0.43857082584290275</v>
      </c>
      <c r="F19" s="102"/>
      <c r="G19" s="109">
        <v>16.48</v>
      </c>
      <c r="H19" s="110">
        <v>12.75</v>
      </c>
      <c r="I19" s="61">
        <v>8.1300000000000008</v>
      </c>
      <c r="J19" s="88">
        <f>tblCPI[[#This Row],[National]]</f>
        <v>313.68900000000002</v>
      </c>
      <c r="K19" s="153">
        <f t="shared" si="4"/>
        <v>0.77366504854368934</v>
      </c>
      <c r="L19" s="173">
        <f t="shared" si="5"/>
        <v>0.49332524271844663</v>
      </c>
    </row>
    <row r="20" spans="1:12" x14ac:dyDescent="0.25">
      <c r="A20" s="102">
        <v>2025</v>
      </c>
      <c r="B20" s="46">
        <f t="shared" si="0"/>
        <v>0.49913344887348371</v>
      </c>
      <c r="C20" s="46">
        <f t="shared" si="1"/>
        <v>0.3159960745829245</v>
      </c>
      <c r="D20" s="46">
        <f t="shared" si="2"/>
        <v>0.27326440177252581</v>
      </c>
      <c r="E20" s="46">
        <f t="shared" si="3"/>
        <v>0.47642348754448383</v>
      </c>
      <c r="F20" s="102"/>
      <c r="G20" s="44">
        <v>17.3</v>
      </c>
      <c r="H20" s="44">
        <v>13.41</v>
      </c>
      <c r="I20" s="111">
        <v>8.6199999999999992</v>
      </c>
      <c r="J20" s="88">
        <f>tblCPI[[#This Row],[National]]</f>
        <v>321.94299999999998</v>
      </c>
      <c r="K20" s="153">
        <f>H20/G20</f>
        <v>0.7751445086705202</v>
      </c>
      <c r="L20" s="173">
        <f>I20/G20</f>
        <v>0.49826589595375714</v>
      </c>
    </row>
    <row r="21" spans="1:12" x14ac:dyDescent="0.25">
      <c r="A21" s="101"/>
      <c r="B21" s="101"/>
      <c r="C21" s="101"/>
      <c r="D21" s="101"/>
      <c r="E21" s="101"/>
      <c r="F21" s="101"/>
      <c r="G21" s="92"/>
      <c r="H21" s="92"/>
    </row>
    <row r="22" spans="1:12" x14ac:dyDescent="0.25">
      <c r="A22" s="30"/>
      <c r="B22" s="30"/>
      <c r="C22" s="30"/>
      <c r="D22" s="30"/>
      <c r="E22" s="30"/>
      <c r="F22" s="30"/>
      <c r="G22" s="100"/>
      <c r="H22" s="105"/>
    </row>
    <row r="23" spans="1:12" s="31" customFormat="1" x14ac:dyDescent="0.25">
      <c r="A23" t="s">
        <v>197</v>
      </c>
      <c r="B23" s="28" t="s">
        <v>262</v>
      </c>
      <c r="C23"/>
      <c r="D23"/>
      <c r="E23"/>
      <c r="F23"/>
      <c r="H23" s="54"/>
    </row>
    <row r="24" spans="1:12" s="31" customFormat="1" x14ac:dyDescent="0.25">
      <c r="A24"/>
      <c r="B24" s="28" t="s">
        <v>247</v>
      </c>
      <c r="C24"/>
      <c r="D24"/>
      <c r="E24"/>
      <c r="F24"/>
      <c r="H24" s="54"/>
    </row>
    <row r="25" spans="1:12" s="31" customFormat="1" x14ac:dyDescent="0.25">
      <c r="A25"/>
      <c r="B25" s="28"/>
      <c r="C25"/>
      <c r="D25"/>
      <c r="E25"/>
      <c r="F25"/>
      <c r="H25" s="54"/>
    </row>
    <row r="26" spans="1:12" x14ac:dyDescent="0.25">
      <c r="A26" t="s">
        <v>205</v>
      </c>
      <c r="B26" s="28" t="s">
        <v>248</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7CC43-95C1-4292-B269-8BF51F334289}">
  <sheetPr>
    <tabColor theme="8" tint="0.79998168889431442"/>
  </sheetPr>
  <dimension ref="A1:L68"/>
  <sheetViews>
    <sheetView workbookViewId="0">
      <selection activeCell="H8" sqref="H8"/>
    </sheetView>
  </sheetViews>
  <sheetFormatPr defaultRowHeight="15" x14ac:dyDescent="0.25"/>
  <cols>
    <col min="1" max="1" width="23.5703125" customWidth="1"/>
    <col min="2" max="3" width="14.85546875" customWidth="1"/>
    <col min="4" max="4" width="16.85546875" customWidth="1"/>
    <col min="5" max="5" width="14.85546875" customWidth="1"/>
    <col min="6" max="6" width="17.5703125" customWidth="1"/>
    <col min="7" max="7" width="15.42578125" customWidth="1"/>
    <col min="8" max="8" width="14.28515625" customWidth="1"/>
    <col min="11" max="11" width="17.5703125" customWidth="1"/>
    <col min="12" max="12" width="18.42578125" customWidth="1"/>
  </cols>
  <sheetData>
    <row r="1" spans="1:12" x14ac:dyDescent="0.25">
      <c r="A1" s="24" t="s">
        <v>134</v>
      </c>
    </row>
    <row r="2" spans="1:12" x14ac:dyDescent="0.25">
      <c r="A2" t="s">
        <v>135</v>
      </c>
    </row>
    <row r="3" spans="1:12" x14ac:dyDescent="0.25">
      <c r="B3" s="299"/>
      <c r="C3" s="299"/>
      <c r="D3" s="299"/>
      <c r="E3" s="299"/>
      <c r="F3" s="299"/>
      <c r="G3" s="299"/>
      <c r="H3" s="33"/>
    </row>
    <row r="4" spans="1:12" x14ac:dyDescent="0.25">
      <c r="B4" s="303" t="s">
        <v>1109</v>
      </c>
      <c r="C4" s="303"/>
      <c r="D4" s="303" t="s">
        <v>1110</v>
      </c>
      <c r="E4" s="303"/>
      <c r="F4" s="303" t="s">
        <v>1111</v>
      </c>
      <c r="G4" s="303"/>
      <c r="H4" s="250" t="s">
        <v>819</v>
      </c>
    </row>
    <row r="5" spans="1:12" x14ac:dyDescent="0.25">
      <c r="B5" s="25" t="s">
        <v>1112</v>
      </c>
      <c r="C5" s="25" t="s">
        <v>1113</v>
      </c>
      <c r="D5" s="25" t="s">
        <v>1112</v>
      </c>
      <c r="E5" s="25" t="s">
        <v>1113</v>
      </c>
      <c r="F5" s="25" t="s">
        <v>1112</v>
      </c>
      <c r="G5" s="25" t="s">
        <v>1113</v>
      </c>
      <c r="H5" s="25" t="s">
        <v>1113</v>
      </c>
    </row>
    <row r="6" spans="1:12" ht="16.5" customHeight="1" x14ac:dyDescent="0.25">
      <c r="A6" s="33" t="s">
        <v>614</v>
      </c>
      <c r="B6" s="27" t="s">
        <v>1114</v>
      </c>
      <c r="C6" s="27" t="s">
        <v>1115</v>
      </c>
      <c r="D6" s="27" t="s">
        <v>1114</v>
      </c>
      <c r="E6" s="27" t="s">
        <v>1115</v>
      </c>
      <c r="F6" s="27" t="s">
        <v>1114</v>
      </c>
      <c r="G6" s="27" t="s">
        <v>1115</v>
      </c>
      <c r="H6" s="27" t="s">
        <v>1115</v>
      </c>
      <c r="K6" s="33" t="s">
        <v>1116</v>
      </c>
      <c r="L6" s="27" t="s">
        <v>1117</v>
      </c>
    </row>
    <row r="7" spans="1:12" x14ac:dyDescent="0.25">
      <c r="A7" t="s">
        <v>398</v>
      </c>
      <c r="B7">
        <v>1514993</v>
      </c>
      <c r="C7">
        <v>17.3</v>
      </c>
      <c r="D7">
        <v>1493486</v>
      </c>
      <c r="E7">
        <v>13.41</v>
      </c>
      <c r="F7">
        <v>1042217</v>
      </c>
      <c r="G7">
        <v>8.6199999999999992</v>
      </c>
      <c r="H7" s="26">
        <f>(E7*D7+G7*F7)/(D7+F7)</f>
        <v>11.441228645468337</v>
      </c>
      <c r="K7" t="s">
        <v>398</v>
      </c>
      <c r="L7" s="46">
        <f>-(H7-C7)/C7</f>
        <v>0.33865730373015396</v>
      </c>
    </row>
    <row r="8" spans="1:12" x14ac:dyDescent="0.25">
      <c r="A8" t="s">
        <v>167</v>
      </c>
      <c r="B8">
        <v>49414</v>
      </c>
      <c r="C8">
        <v>28.91</v>
      </c>
      <c r="D8">
        <v>49855</v>
      </c>
      <c r="E8">
        <v>22.58</v>
      </c>
      <c r="F8">
        <v>14563</v>
      </c>
      <c r="G8">
        <v>17.760000000000002</v>
      </c>
      <c r="H8" s="26">
        <f t="shared" ref="H8:H38" si="0">(E8*D8+G8*F8)/(D8+F8)</f>
        <v>21.490340898506631</v>
      </c>
      <c r="K8" t="s">
        <v>167</v>
      </c>
      <c r="L8" s="46">
        <f t="shared" ref="L8:L38" si="1">-(H8-C8)/C8</f>
        <v>0.25664680392574785</v>
      </c>
    </row>
    <row r="9" spans="1:12" x14ac:dyDescent="0.25">
      <c r="A9" t="s">
        <v>168</v>
      </c>
      <c r="B9">
        <v>13357</v>
      </c>
      <c r="C9">
        <v>29.38</v>
      </c>
      <c r="D9">
        <v>11481</v>
      </c>
      <c r="E9">
        <v>23.11</v>
      </c>
      <c r="F9">
        <v>2561</v>
      </c>
      <c r="G9">
        <v>18.350000000000001</v>
      </c>
      <c r="H9" s="26">
        <f t="shared" si="0"/>
        <v>22.241864406779662</v>
      </c>
      <c r="K9" t="s">
        <v>168</v>
      </c>
      <c r="L9" s="46">
        <f t="shared" si="1"/>
        <v>0.242959005895859</v>
      </c>
    </row>
    <row r="10" spans="1:12" x14ac:dyDescent="0.25">
      <c r="A10" t="s">
        <v>169</v>
      </c>
      <c r="B10">
        <v>4781</v>
      </c>
      <c r="C10">
        <v>27.78</v>
      </c>
      <c r="D10">
        <v>4028</v>
      </c>
      <c r="E10">
        <v>20.96</v>
      </c>
      <c r="F10">
        <v>2228</v>
      </c>
      <c r="G10">
        <v>15.5</v>
      </c>
      <c r="H10" s="26">
        <f t="shared" si="0"/>
        <v>19.015485933503836</v>
      </c>
      <c r="K10" t="s">
        <v>169</v>
      </c>
      <c r="L10" s="46">
        <f t="shared" si="1"/>
        <v>0.31549726661253291</v>
      </c>
    </row>
    <row r="11" spans="1:12" x14ac:dyDescent="0.25">
      <c r="A11" t="s">
        <v>170</v>
      </c>
      <c r="B11">
        <v>20872</v>
      </c>
      <c r="C11">
        <v>30.48</v>
      </c>
      <c r="D11">
        <v>24601</v>
      </c>
      <c r="E11">
        <v>23.08</v>
      </c>
      <c r="F11">
        <v>5968</v>
      </c>
      <c r="G11">
        <v>19.350000000000001</v>
      </c>
      <c r="H11" s="26">
        <f t="shared" si="0"/>
        <v>22.35179037587098</v>
      </c>
      <c r="K11" t="s">
        <v>170</v>
      </c>
      <c r="L11" s="46">
        <f t="shared" si="1"/>
        <v>0.26667354409872113</v>
      </c>
    </row>
    <row r="12" spans="1:12" x14ac:dyDescent="0.25">
      <c r="A12" t="s">
        <v>171</v>
      </c>
      <c r="B12">
        <v>5046</v>
      </c>
      <c r="C12">
        <v>24.56</v>
      </c>
      <c r="D12">
        <v>4149</v>
      </c>
      <c r="E12">
        <v>20.16</v>
      </c>
      <c r="F12">
        <v>1909</v>
      </c>
      <c r="G12">
        <v>16.88</v>
      </c>
      <c r="H12" s="26">
        <f t="shared" si="0"/>
        <v>19.126404754044238</v>
      </c>
      <c r="K12" t="s">
        <v>171</v>
      </c>
      <c r="L12" s="46">
        <f t="shared" si="1"/>
        <v>0.22123759144771016</v>
      </c>
    </row>
    <row r="13" spans="1:12" x14ac:dyDescent="0.25">
      <c r="A13" t="s">
        <v>172</v>
      </c>
      <c r="B13">
        <v>3134</v>
      </c>
      <c r="C13">
        <v>29.46</v>
      </c>
      <c r="D13">
        <v>3617</v>
      </c>
      <c r="E13">
        <v>23.46</v>
      </c>
      <c r="F13">
        <v>628</v>
      </c>
      <c r="G13">
        <v>21.74</v>
      </c>
      <c r="H13" s="26">
        <f t="shared" si="0"/>
        <v>23.205545347467609</v>
      </c>
      <c r="K13" t="s">
        <v>172</v>
      </c>
      <c r="L13" s="46">
        <f t="shared" si="1"/>
        <v>0.21230328080558017</v>
      </c>
    </row>
    <row r="14" spans="1:12" x14ac:dyDescent="0.25">
      <c r="A14" t="s">
        <v>173</v>
      </c>
      <c r="B14">
        <v>2225</v>
      </c>
      <c r="C14">
        <v>22.92</v>
      </c>
      <c r="D14">
        <v>1979</v>
      </c>
      <c r="E14">
        <v>19.920000000000002</v>
      </c>
      <c r="F14">
        <v>1269</v>
      </c>
      <c r="G14">
        <v>12.39</v>
      </c>
      <c r="H14" s="26">
        <f t="shared" si="0"/>
        <v>16.978014162561575</v>
      </c>
      <c r="K14" t="s">
        <v>173</v>
      </c>
      <c r="L14" s="46">
        <f t="shared" si="1"/>
        <v>0.25924894578701685</v>
      </c>
    </row>
    <row r="15" spans="1:12" x14ac:dyDescent="0.25">
      <c r="A15" t="s">
        <v>174</v>
      </c>
      <c r="B15">
        <v>138546</v>
      </c>
      <c r="C15">
        <v>22.7</v>
      </c>
      <c r="D15">
        <v>148557</v>
      </c>
      <c r="E15">
        <v>17.649999999999999</v>
      </c>
      <c r="F15">
        <v>68893</v>
      </c>
      <c r="G15">
        <v>9.8000000000000007</v>
      </c>
      <c r="H15" s="26">
        <f t="shared" si="0"/>
        <v>15.16294527477581</v>
      </c>
      <c r="K15" t="s">
        <v>174</v>
      </c>
      <c r="L15" s="46">
        <f t="shared" si="1"/>
        <v>0.33202884252088943</v>
      </c>
    </row>
    <row r="16" spans="1:12" x14ac:dyDescent="0.25">
      <c r="A16" t="s">
        <v>175</v>
      </c>
      <c r="B16">
        <v>30056</v>
      </c>
      <c r="C16">
        <v>22.63</v>
      </c>
      <c r="D16">
        <v>36512</v>
      </c>
      <c r="E16">
        <v>16.63</v>
      </c>
      <c r="F16">
        <v>6088</v>
      </c>
      <c r="G16">
        <v>13.9</v>
      </c>
      <c r="H16" s="26">
        <f t="shared" si="0"/>
        <v>16.239853521126758</v>
      </c>
      <c r="K16" t="s">
        <v>175</v>
      </c>
      <c r="L16" s="46">
        <f t="shared" si="1"/>
        <v>0.2823750101137093</v>
      </c>
    </row>
    <row r="17" spans="1:12" x14ac:dyDescent="0.25">
      <c r="A17" t="s">
        <v>176</v>
      </c>
      <c r="B17">
        <v>52406</v>
      </c>
      <c r="C17">
        <v>26.39</v>
      </c>
      <c r="D17">
        <v>71885</v>
      </c>
      <c r="E17">
        <v>21.07</v>
      </c>
      <c r="F17">
        <v>16270</v>
      </c>
      <c r="G17">
        <v>9.5500000000000007</v>
      </c>
      <c r="H17" s="26">
        <f t="shared" si="0"/>
        <v>18.943854007146502</v>
      </c>
      <c r="K17" t="s">
        <v>176</v>
      </c>
      <c r="L17" s="46">
        <f t="shared" si="1"/>
        <v>0.28215786255602493</v>
      </c>
    </row>
    <row r="18" spans="1:12" x14ac:dyDescent="0.25">
      <c r="A18" t="s">
        <v>177</v>
      </c>
      <c r="B18">
        <v>56084</v>
      </c>
      <c r="C18">
        <v>19.3</v>
      </c>
      <c r="D18">
        <v>40160</v>
      </c>
      <c r="E18">
        <v>12.44</v>
      </c>
      <c r="F18">
        <v>46535</v>
      </c>
      <c r="G18">
        <v>9.36</v>
      </c>
      <c r="H18" s="26">
        <f t="shared" si="0"/>
        <v>10.786758175211951</v>
      </c>
      <c r="K18" t="s">
        <v>177</v>
      </c>
      <c r="L18" s="46">
        <f t="shared" si="1"/>
        <v>0.44110061268331863</v>
      </c>
    </row>
    <row r="19" spans="1:12" x14ac:dyDescent="0.25">
      <c r="A19" t="s">
        <v>178</v>
      </c>
      <c r="B19">
        <v>192583</v>
      </c>
      <c r="C19">
        <v>17.7</v>
      </c>
      <c r="D19">
        <v>190871</v>
      </c>
      <c r="E19">
        <v>13.01</v>
      </c>
      <c r="F19">
        <v>187054</v>
      </c>
      <c r="G19">
        <v>9.0299999999999994</v>
      </c>
      <c r="H19" s="26">
        <f t="shared" si="0"/>
        <v>11.040098776212211</v>
      </c>
      <c r="K19" t="s">
        <v>178</v>
      </c>
      <c r="L19" s="46">
        <f t="shared" si="1"/>
        <v>0.37626560586371682</v>
      </c>
    </row>
    <row r="20" spans="1:12" x14ac:dyDescent="0.25">
      <c r="A20" t="s">
        <v>179</v>
      </c>
      <c r="B20">
        <v>46618</v>
      </c>
      <c r="C20">
        <v>17.690000000000001</v>
      </c>
      <c r="D20">
        <v>46349</v>
      </c>
      <c r="E20">
        <v>13.07</v>
      </c>
      <c r="F20">
        <v>41885</v>
      </c>
      <c r="G20">
        <v>10.14</v>
      </c>
      <c r="H20" s="26">
        <f t="shared" si="0"/>
        <v>11.679118367069384</v>
      </c>
      <c r="K20" t="s">
        <v>179</v>
      </c>
      <c r="L20" s="46">
        <f t="shared" si="1"/>
        <v>0.33978980400964481</v>
      </c>
    </row>
    <row r="21" spans="1:12" x14ac:dyDescent="0.25">
      <c r="A21" t="s">
        <v>180</v>
      </c>
      <c r="B21">
        <v>34492</v>
      </c>
      <c r="C21">
        <v>16.23</v>
      </c>
      <c r="D21">
        <v>25513</v>
      </c>
      <c r="E21">
        <v>13.88</v>
      </c>
      <c r="F21">
        <v>43461</v>
      </c>
      <c r="G21">
        <v>8.89</v>
      </c>
      <c r="H21" s="26">
        <f t="shared" si="0"/>
        <v>10.73576608577145</v>
      </c>
      <c r="K21" t="s">
        <v>180</v>
      </c>
      <c r="L21" s="46">
        <f t="shared" si="1"/>
        <v>0.3385233465328743</v>
      </c>
    </row>
    <row r="22" spans="1:12" x14ac:dyDescent="0.25">
      <c r="A22" t="s">
        <v>181</v>
      </c>
      <c r="B22">
        <v>34549</v>
      </c>
      <c r="C22">
        <v>20.010000000000002</v>
      </c>
      <c r="D22">
        <v>37423</v>
      </c>
      <c r="E22">
        <v>14.48</v>
      </c>
      <c r="F22">
        <v>28141</v>
      </c>
      <c r="G22">
        <v>8.59</v>
      </c>
      <c r="H22" s="26">
        <f t="shared" si="0"/>
        <v>11.951928344823378</v>
      </c>
      <c r="K22" t="s">
        <v>181</v>
      </c>
      <c r="L22" s="46">
        <f t="shared" si="1"/>
        <v>0.40270223164300967</v>
      </c>
    </row>
    <row r="23" spans="1:12" x14ac:dyDescent="0.25">
      <c r="A23" t="s">
        <v>182</v>
      </c>
      <c r="B23">
        <v>53997</v>
      </c>
      <c r="C23">
        <v>16.96</v>
      </c>
      <c r="D23">
        <v>57756</v>
      </c>
      <c r="E23">
        <v>11.6</v>
      </c>
      <c r="F23">
        <v>50147</v>
      </c>
      <c r="G23">
        <v>8.52</v>
      </c>
      <c r="H23" s="26">
        <f t="shared" si="0"/>
        <v>10.168596239214851</v>
      </c>
      <c r="K23" t="s">
        <v>182</v>
      </c>
      <c r="L23" s="46">
        <f t="shared" si="1"/>
        <v>0.40043654249912436</v>
      </c>
    </row>
    <row r="24" spans="1:12" x14ac:dyDescent="0.25">
      <c r="A24" t="s">
        <v>185</v>
      </c>
      <c r="B24">
        <v>22928</v>
      </c>
      <c r="C24">
        <v>18.16</v>
      </c>
      <c r="D24">
        <v>23831</v>
      </c>
      <c r="E24">
        <v>13.06</v>
      </c>
      <c r="F24">
        <v>23420</v>
      </c>
      <c r="G24">
        <v>8.92</v>
      </c>
      <c r="H24" s="26">
        <f t="shared" si="0"/>
        <v>11.008005333220462</v>
      </c>
      <c r="K24" t="s">
        <v>185</v>
      </c>
      <c r="L24" s="46">
        <f t="shared" si="1"/>
        <v>0.3938323054394019</v>
      </c>
    </row>
    <row r="25" spans="1:12" x14ac:dyDescent="0.25">
      <c r="A25" t="s">
        <v>188</v>
      </c>
      <c r="B25">
        <v>110519</v>
      </c>
      <c r="C25">
        <v>13.95</v>
      </c>
      <c r="D25">
        <v>114517</v>
      </c>
      <c r="E25">
        <v>10.56</v>
      </c>
      <c r="F25">
        <v>103088</v>
      </c>
      <c r="G25">
        <v>8.02</v>
      </c>
      <c r="H25" s="26">
        <f t="shared" si="0"/>
        <v>9.3567026492957428</v>
      </c>
      <c r="K25" t="s">
        <v>188</v>
      </c>
      <c r="L25" s="46">
        <f t="shared" si="1"/>
        <v>0.32926862729062772</v>
      </c>
    </row>
    <row r="26" spans="1:12" x14ac:dyDescent="0.25">
      <c r="A26" t="s">
        <v>191</v>
      </c>
      <c r="B26">
        <v>15133</v>
      </c>
      <c r="C26">
        <v>13.72</v>
      </c>
      <c r="D26">
        <v>13310</v>
      </c>
      <c r="E26">
        <v>11.05</v>
      </c>
      <c r="F26">
        <v>30126</v>
      </c>
      <c r="G26">
        <v>7.2</v>
      </c>
      <c r="H26" s="26">
        <f t="shared" si="0"/>
        <v>8.3797472142922924</v>
      </c>
      <c r="K26" t="s">
        <v>191</v>
      </c>
      <c r="L26" s="46">
        <f t="shared" si="1"/>
        <v>0.38923125260260261</v>
      </c>
    </row>
    <row r="27" spans="1:12" x14ac:dyDescent="0.25">
      <c r="A27" t="s">
        <v>193</v>
      </c>
      <c r="B27">
        <v>14198</v>
      </c>
      <c r="C27">
        <v>14.56</v>
      </c>
      <c r="D27">
        <v>16198</v>
      </c>
      <c r="E27">
        <v>11.35</v>
      </c>
      <c r="F27">
        <v>11575</v>
      </c>
      <c r="G27">
        <v>8.0299999999999994</v>
      </c>
      <c r="H27" s="26">
        <f t="shared" si="0"/>
        <v>9.9663180066971506</v>
      </c>
      <c r="K27" t="s">
        <v>193</v>
      </c>
      <c r="L27" s="46">
        <f t="shared" si="1"/>
        <v>0.31550013690266826</v>
      </c>
    </row>
    <row r="28" spans="1:12" x14ac:dyDescent="0.25">
      <c r="A28" t="s">
        <v>195</v>
      </c>
      <c r="B28">
        <v>23312</v>
      </c>
      <c r="C28">
        <v>15.82</v>
      </c>
      <c r="D28">
        <v>23177</v>
      </c>
      <c r="E28">
        <v>12.27</v>
      </c>
      <c r="F28">
        <v>19233</v>
      </c>
      <c r="G28">
        <v>9.32</v>
      </c>
      <c r="H28" s="26">
        <f t="shared" si="0"/>
        <v>10.932170478660693</v>
      </c>
      <c r="K28" t="s">
        <v>195</v>
      </c>
      <c r="L28" s="46">
        <f t="shared" si="1"/>
        <v>0.30896520362448215</v>
      </c>
    </row>
    <row r="29" spans="1:12" x14ac:dyDescent="0.25">
      <c r="A29" t="s">
        <v>196</v>
      </c>
      <c r="B29">
        <v>36633</v>
      </c>
      <c r="C29">
        <v>13.49</v>
      </c>
      <c r="D29">
        <v>30342</v>
      </c>
      <c r="E29">
        <v>10.63</v>
      </c>
      <c r="F29">
        <v>13113</v>
      </c>
      <c r="G29">
        <v>8.3800000000000008</v>
      </c>
      <c r="H29" s="26">
        <f t="shared" si="0"/>
        <v>9.9510390058681395</v>
      </c>
      <c r="K29" t="s">
        <v>196</v>
      </c>
      <c r="L29" s="46">
        <f t="shared" si="1"/>
        <v>0.26233958444268796</v>
      </c>
    </row>
    <row r="30" spans="1:12" x14ac:dyDescent="0.25">
      <c r="A30" t="s">
        <v>199</v>
      </c>
      <c r="B30">
        <v>10746</v>
      </c>
      <c r="C30">
        <v>12.34</v>
      </c>
      <c r="D30">
        <v>14689</v>
      </c>
      <c r="E30">
        <v>8.7899999999999991</v>
      </c>
      <c r="F30">
        <v>12189</v>
      </c>
      <c r="G30">
        <v>8</v>
      </c>
      <c r="H30" s="26">
        <f t="shared" si="0"/>
        <v>8.4317400848277408</v>
      </c>
      <c r="K30" t="s">
        <v>199</v>
      </c>
      <c r="L30" s="46">
        <f t="shared" si="1"/>
        <v>0.31671474191023169</v>
      </c>
    </row>
    <row r="31" spans="1:12" x14ac:dyDescent="0.25">
      <c r="A31" t="s">
        <v>201</v>
      </c>
      <c r="B31">
        <v>5148</v>
      </c>
      <c r="C31">
        <v>11.81</v>
      </c>
      <c r="D31">
        <v>11509</v>
      </c>
      <c r="E31">
        <v>7.4</v>
      </c>
      <c r="F31">
        <v>13681</v>
      </c>
      <c r="G31">
        <v>7.5</v>
      </c>
      <c r="H31" s="26">
        <f t="shared" si="0"/>
        <v>7.4543112346169114</v>
      </c>
      <c r="K31" t="s">
        <v>201</v>
      </c>
      <c r="L31" s="46">
        <f t="shared" si="1"/>
        <v>0.36881361264886442</v>
      </c>
    </row>
    <row r="32" spans="1:12" x14ac:dyDescent="0.25">
      <c r="A32" t="s">
        <v>203</v>
      </c>
      <c r="B32">
        <v>5349</v>
      </c>
      <c r="C32">
        <v>13.38</v>
      </c>
      <c r="D32">
        <v>5292</v>
      </c>
      <c r="E32">
        <v>10.89</v>
      </c>
      <c r="F32">
        <v>3171</v>
      </c>
      <c r="G32">
        <v>8.68</v>
      </c>
      <c r="H32" s="26">
        <f t="shared" si="0"/>
        <v>10.061935483870968</v>
      </c>
      <c r="K32" t="s">
        <v>203</v>
      </c>
      <c r="L32" s="46">
        <f t="shared" si="1"/>
        <v>0.24798688461353008</v>
      </c>
    </row>
    <row r="33" spans="1:12" x14ac:dyDescent="0.25">
      <c r="A33" t="s">
        <v>204</v>
      </c>
      <c r="B33">
        <v>395836</v>
      </c>
      <c r="C33">
        <v>15.31</v>
      </c>
      <c r="D33">
        <v>365430</v>
      </c>
      <c r="E33">
        <v>11.28</v>
      </c>
      <c r="F33">
        <v>134788</v>
      </c>
      <c r="G33">
        <v>8.17</v>
      </c>
      <c r="H33" s="26">
        <f t="shared" si="0"/>
        <v>10.441984014969472</v>
      </c>
      <c r="K33" t="s">
        <v>204</v>
      </c>
      <c r="L33" s="46">
        <f t="shared" si="1"/>
        <v>0.31796316035470462</v>
      </c>
    </row>
    <row r="34" spans="1:12" x14ac:dyDescent="0.25">
      <c r="A34" t="s">
        <v>207</v>
      </c>
      <c r="B34">
        <v>5327</v>
      </c>
      <c r="C34">
        <v>17.13</v>
      </c>
      <c r="D34">
        <v>4277</v>
      </c>
      <c r="E34">
        <v>12.64</v>
      </c>
      <c r="F34">
        <v>1974</v>
      </c>
      <c r="G34">
        <v>9.64</v>
      </c>
      <c r="H34" s="26">
        <f t="shared" si="0"/>
        <v>11.692631578947369</v>
      </c>
      <c r="K34" t="s">
        <v>207</v>
      </c>
      <c r="L34" s="46">
        <f t="shared" si="1"/>
        <v>0.31741788797738651</v>
      </c>
    </row>
    <row r="35" spans="1:12" x14ac:dyDescent="0.25">
      <c r="A35" t="s">
        <v>399</v>
      </c>
      <c r="B35">
        <v>2490</v>
      </c>
      <c r="C35">
        <v>21.94</v>
      </c>
      <c r="D35">
        <v>7221</v>
      </c>
      <c r="E35">
        <v>20.41</v>
      </c>
      <c r="F35">
        <v>196</v>
      </c>
      <c r="G35">
        <v>14.78</v>
      </c>
      <c r="H35" s="26">
        <f t="shared" si="0"/>
        <v>20.261222866388032</v>
      </c>
      <c r="K35" t="s">
        <v>399</v>
      </c>
      <c r="L35" s="46">
        <f t="shared" si="1"/>
        <v>7.651673352834866E-2</v>
      </c>
    </row>
    <row r="36" spans="1:12" x14ac:dyDescent="0.25">
      <c r="A36" t="s">
        <v>209</v>
      </c>
      <c r="B36">
        <v>139930</v>
      </c>
      <c r="C36">
        <v>15.24</v>
      </c>
      <c r="D36">
        <v>100552</v>
      </c>
      <c r="E36">
        <v>11.47</v>
      </c>
      <c r="F36">
        <v>17339</v>
      </c>
      <c r="G36">
        <v>8.84</v>
      </c>
      <c r="H36" s="26">
        <f t="shared" si="0"/>
        <v>11.083188708213521</v>
      </c>
      <c r="K36" t="s">
        <v>209</v>
      </c>
      <c r="L36" s="46">
        <f t="shared" si="1"/>
        <v>0.27275664644268233</v>
      </c>
    </row>
    <row r="37" spans="1:12" x14ac:dyDescent="0.25">
      <c r="A37" t="s">
        <v>210</v>
      </c>
      <c r="B37">
        <v>63359</v>
      </c>
      <c r="C37">
        <v>14.73</v>
      </c>
      <c r="D37">
        <v>56935</v>
      </c>
      <c r="E37">
        <v>11.5</v>
      </c>
      <c r="F37">
        <v>33109</v>
      </c>
      <c r="G37">
        <v>7.81</v>
      </c>
      <c r="H37" s="26">
        <f t="shared" si="0"/>
        <v>10.143194327217804</v>
      </c>
      <c r="K37" t="s">
        <v>210</v>
      </c>
      <c r="L37" s="46">
        <f t="shared" si="1"/>
        <v>0.31139210270076007</v>
      </c>
    </row>
    <row r="38" spans="1:12" x14ac:dyDescent="0.25">
      <c r="A38" t="s">
        <v>211</v>
      </c>
      <c r="B38">
        <v>28032</v>
      </c>
      <c r="C38">
        <v>19.48</v>
      </c>
      <c r="D38">
        <v>27576</v>
      </c>
      <c r="E38">
        <v>14.74</v>
      </c>
      <c r="F38">
        <v>3486</v>
      </c>
      <c r="G38">
        <v>12.5</v>
      </c>
      <c r="H38" s="26">
        <f t="shared" si="0"/>
        <v>14.488611164767239</v>
      </c>
      <c r="K38" t="s">
        <v>211</v>
      </c>
      <c r="L38" s="46">
        <f t="shared" si="1"/>
        <v>0.25623145971420747</v>
      </c>
    </row>
    <row r="39" spans="1:12" x14ac:dyDescent="0.25">
      <c r="A39" t="s">
        <v>212</v>
      </c>
      <c r="B39">
        <v>64564</v>
      </c>
      <c r="C39">
        <v>14.02</v>
      </c>
      <c r="D39">
        <v>50235</v>
      </c>
      <c r="E39">
        <v>10.25</v>
      </c>
      <c r="F39">
        <v>25773</v>
      </c>
      <c r="G39">
        <v>7.8</v>
      </c>
      <c r="H39" s="26">
        <f t="shared" ref="H39:H68" si="2">(E39*D39+G39*F39)/(D39+F39)</f>
        <v>9.4192473160719921</v>
      </c>
      <c r="K39" t="s">
        <v>212</v>
      </c>
      <c r="L39" s="46">
        <f t="shared" ref="L39:L68" si="3">-(H39-C39)/C39</f>
        <v>0.32815639685649128</v>
      </c>
    </row>
    <row r="40" spans="1:12" x14ac:dyDescent="0.25">
      <c r="A40" t="s">
        <v>213</v>
      </c>
      <c r="B40">
        <v>33755</v>
      </c>
      <c r="C40">
        <v>14.96</v>
      </c>
      <c r="D40">
        <v>26993</v>
      </c>
      <c r="E40">
        <v>11.05</v>
      </c>
      <c r="F40">
        <v>24872</v>
      </c>
      <c r="G40">
        <v>7.11</v>
      </c>
      <c r="H40" s="26">
        <f t="shared" si="2"/>
        <v>9.1605624216716492</v>
      </c>
      <c r="K40" t="s">
        <v>213</v>
      </c>
      <c r="L40" s="46">
        <f t="shared" si="3"/>
        <v>0.38766293972783095</v>
      </c>
    </row>
    <row r="41" spans="1:12" x14ac:dyDescent="0.25">
      <c r="A41" t="s">
        <v>214</v>
      </c>
      <c r="B41">
        <v>47217</v>
      </c>
      <c r="C41">
        <v>15.28</v>
      </c>
      <c r="D41">
        <v>83624</v>
      </c>
      <c r="E41">
        <v>9.5500000000000007</v>
      </c>
      <c r="F41">
        <v>13538</v>
      </c>
      <c r="G41">
        <v>9.4499999999999993</v>
      </c>
      <c r="H41" s="26">
        <f t="shared" si="2"/>
        <v>9.5360665692348867</v>
      </c>
      <c r="K41" t="s">
        <v>214</v>
      </c>
      <c r="L41" s="46">
        <f t="shared" si="3"/>
        <v>0.3759118737411723</v>
      </c>
    </row>
    <row r="42" spans="1:12" x14ac:dyDescent="0.25">
      <c r="A42" t="s">
        <v>215</v>
      </c>
      <c r="B42">
        <v>11163</v>
      </c>
      <c r="C42">
        <v>15.41</v>
      </c>
      <c r="D42">
        <v>8018</v>
      </c>
      <c r="E42">
        <v>11.75</v>
      </c>
      <c r="F42">
        <v>14502</v>
      </c>
      <c r="G42">
        <v>8.11</v>
      </c>
      <c r="H42" s="26">
        <f t="shared" si="2"/>
        <v>9.4059822380106564</v>
      </c>
      <c r="K42" t="s">
        <v>215</v>
      </c>
      <c r="L42" s="46">
        <f t="shared" si="3"/>
        <v>0.38961828436011314</v>
      </c>
    </row>
    <row r="43" spans="1:12" x14ac:dyDescent="0.25">
      <c r="A43" t="s">
        <v>216</v>
      </c>
      <c r="B43">
        <v>125069</v>
      </c>
      <c r="C43">
        <v>14.1</v>
      </c>
      <c r="D43">
        <v>94441</v>
      </c>
      <c r="E43">
        <v>13.08</v>
      </c>
      <c r="F43">
        <v>101793</v>
      </c>
      <c r="G43">
        <v>7.22</v>
      </c>
      <c r="H43" s="26">
        <f t="shared" si="2"/>
        <v>10.040226158565794</v>
      </c>
      <c r="K43" t="s">
        <v>216</v>
      </c>
      <c r="L43" s="46">
        <f t="shared" si="3"/>
        <v>0.2879272227967522</v>
      </c>
    </row>
    <row r="44" spans="1:12" x14ac:dyDescent="0.25">
      <c r="A44" t="s">
        <v>217</v>
      </c>
      <c r="B44">
        <v>33479</v>
      </c>
      <c r="C44">
        <v>16.100000000000001</v>
      </c>
      <c r="D44">
        <v>23018</v>
      </c>
      <c r="E44">
        <v>14.52</v>
      </c>
      <c r="F44">
        <v>32725</v>
      </c>
      <c r="G44">
        <v>7.73</v>
      </c>
      <c r="H44" s="26">
        <f t="shared" si="2"/>
        <v>10.533799939005794</v>
      </c>
      <c r="K44" t="s">
        <v>217</v>
      </c>
      <c r="L44" s="46">
        <f t="shared" si="3"/>
        <v>0.3457267118629942</v>
      </c>
    </row>
    <row r="45" spans="1:12" x14ac:dyDescent="0.25">
      <c r="A45" t="s">
        <v>218</v>
      </c>
      <c r="B45">
        <v>27235</v>
      </c>
      <c r="C45">
        <v>13.24</v>
      </c>
      <c r="D45">
        <v>20579</v>
      </c>
      <c r="E45">
        <v>11.88</v>
      </c>
      <c r="F45">
        <v>28105</v>
      </c>
      <c r="G45">
        <v>6.96</v>
      </c>
      <c r="H45" s="26">
        <f t="shared" si="2"/>
        <v>9.0397116095637173</v>
      </c>
      <c r="K45" t="s">
        <v>218</v>
      </c>
      <c r="L45" s="46">
        <f t="shared" si="3"/>
        <v>0.31724232556165277</v>
      </c>
    </row>
    <row r="46" spans="1:12" x14ac:dyDescent="0.25">
      <c r="A46" t="s">
        <v>219</v>
      </c>
      <c r="B46">
        <v>19095</v>
      </c>
      <c r="C46">
        <v>14.03</v>
      </c>
      <c r="D46">
        <v>14338</v>
      </c>
      <c r="E46">
        <v>13.03</v>
      </c>
      <c r="F46">
        <v>16177</v>
      </c>
      <c r="G46">
        <v>7.38</v>
      </c>
      <c r="H46" s="26">
        <f t="shared" si="2"/>
        <v>10.034750122890381</v>
      </c>
      <c r="K46" t="s">
        <v>219</v>
      </c>
      <c r="L46" s="46">
        <f t="shared" si="3"/>
        <v>0.28476478097716451</v>
      </c>
    </row>
    <row r="47" spans="1:12" x14ac:dyDescent="0.25">
      <c r="A47" t="s">
        <v>220</v>
      </c>
      <c r="B47">
        <v>45260</v>
      </c>
      <c r="C47">
        <v>13.18</v>
      </c>
      <c r="D47">
        <v>36506</v>
      </c>
      <c r="E47">
        <v>12.87</v>
      </c>
      <c r="F47">
        <v>24786</v>
      </c>
      <c r="G47">
        <v>6.74</v>
      </c>
      <c r="H47" s="26">
        <f t="shared" si="2"/>
        <v>10.391076486327743</v>
      </c>
      <c r="K47" t="s">
        <v>220</v>
      </c>
      <c r="L47" s="46">
        <f t="shared" si="3"/>
        <v>0.21160269451231087</v>
      </c>
    </row>
    <row r="48" spans="1:12" x14ac:dyDescent="0.25">
      <c r="A48" t="s">
        <v>221</v>
      </c>
      <c r="B48">
        <v>246401</v>
      </c>
      <c r="C48">
        <v>14.65</v>
      </c>
      <c r="D48">
        <v>237294</v>
      </c>
      <c r="E48">
        <v>9.06</v>
      </c>
      <c r="F48">
        <v>262137</v>
      </c>
      <c r="G48">
        <v>6.48</v>
      </c>
      <c r="H48" s="26">
        <f t="shared" si="2"/>
        <v>7.7058320368579452</v>
      </c>
      <c r="K48" t="s">
        <v>221</v>
      </c>
      <c r="L48" s="46">
        <f t="shared" si="3"/>
        <v>0.4740046391223246</v>
      </c>
    </row>
    <row r="49" spans="1:12" x14ac:dyDescent="0.25">
      <c r="A49" t="s">
        <v>222</v>
      </c>
      <c r="B49">
        <v>19228</v>
      </c>
      <c r="C49">
        <v>12.84</v>
      </c>
      <c r="D49">
        <v>11905</v>
      </c>
      <c r="E49">
        <v>10.76</v>
      </c>
      <c r="F49">
        <v>21829</v>
      </c>
      <c r="G49">
        <v>6.71</v>
      </c>
      <c r="H49" s="26">
        <f t="shared" si="2"/>
        <v>8.1392775834469671</v>
      </c>
      <c r="K49" t="s">
        <v>222</v>
      </c>
      <c r="L49" s="46">
        <f t="shared" si="3"/>
        <v>0.36609987667858512</v>
      </c>
    </row>
    <row r="50" spans="1:12" x14ac:dyDescent="0.25">
      <c r="A50" t="s">
        <v>223</v>
      </c>
      <c r="B50">
        <v>31836</v>
      </c>
      <c r="C50">
        <v>12.57</v>
      </c>
      <c r="D50">
        <v>23905</v>
      </c>
      <c r="E50">
        <v>11.2</v>
      </c>
      <c r="F50">
        <v>42326</v>
      </c>
      <c r="G50">
        <v>6.23</v>
      </c>
      <c r="H50" s="26">
        <f t="shared" si="2"/>
        <v>8.0238404976521558</v>
      </c>
      <c r="K50" t="s">
        <v>223</v>
      </c>
      <c r="L50" s="46">
        <f t="shared" si="3"/>
        <v>0.36166742262114909</v>
      </c>
    </row>
    <row r="51" spans="1:12" x14ac:dyDescent="0.25">
      <c r="A51" t="s">
        <v>224</v>
      </c>
      <c r="B51">
        <v>24475</v>
      </c>
      <c r="C51">
        <v>13.12</v>
      </c>
      <c r="D51">
        <v>27677</v>
      </c>
      <c r="E51">
        <v>9.08</v>
      </c>
      <c r="F51">
        <v>22963</v>
      </c>
      <c r="G51">
        <v>6.15</v>
      </c>
      <c r="H51" s="26">
        <f t="shared" si="2"/>
        <v>7.7513746050552923</v>
      </c>
      <c r="K51" t="s">
        <v>224</v>
      </c>
      <c r="L51" s="46">
        <f t="shared" si="3"/>
        <v>0.40919400876102952</v>
      </c>
    </row>
    <row r="52" spans="1:12" x14ac:dyDescent="0.25">
      <c r="A52" t="s">
        <v>225</v>
      </c>
      <c r="B52">
        <v>170862</v>
      </c>
      <c r="C52">
        <v>15.47</v>
      </c>
      <c r="D52">
        <v>173807</v>
      </c>
      <c r="E52">
        <v>8.64</v>
      </c>
      <c r="F52">
        <v>175019</v>
      </c>
      <c r="G52">
        <v>6.55</v>
      </c>
      <c r="H52" s="26">
        <f t="shared" si="2"/>
        <v>7.5913691353282156</v>
      </c>
      <c r="K52" t="s">
        <v>225</v>
      </c>
      <c r="L52" s="46">
        <f t="shared" si="3"/>
        <v>0.50928447735434934</v>
      </c>
    </row>
    <row r="53" spans="1:12" x14ac:dyDescent="0.25">
      <c r="A53" t="s">
        <v>226</v>
      </c>
      <c r="B53">
        <v>111093</v>
      </c>
      <c r="C53">
        <v>14.41</v>
      </c>
      <c r="D53">
        <v>114360</v>
      </c>
      <c r="E53">
        <v>11.3</v>
      </c>
      <c r="F53">
        <v>88599</v>
      </c>
      <c r="G53">
        <v>7.91</v>
      </c>
      <c r="H53" s="26">
        <f t="shared" si="2"/>
        <v>9.8201414571415899</v>
      </c>
      <c r="K53" t="s">
        <v>226</v>
      </c>
      <c r="L53" s="46">
        <f t="shared" si="3"/>
        <v>0.3185189828492998</v>
      </c>
    </row>
    <row r="54" spans="1:12" x14ac:dyDescent="0.25">
      <c r="A54" t="s">
        <v>227</v>
      </c>
      <c r="B54">
        <v>39062</v>
      </c>
      <c r="C54">
        <v>15.32</v>
      </c>
      <c r="D54">
        <v>37543</v>
      </c>
      <c r="E54">
        <v>12.47</v>
      </c>
      <c r="F54">
        <v>14937</v>
      </c>
      <c r="G54">
        <v>8.1</v>
      </c>
      <c r="H54" s="26">
        <f t="shared" si="2"/>
        <v>11.226198742378049</v>
      </c>
      <c r="K54" t="s">
        <v>227</v>
      </c>
      <c r="L54" s="46">
        <f t="shared" si="3"/>
        <v>0.26721940323903076</v>
      </c>
    </row>
    <row r="55" spans="1:12" x14ac:dyDescent="0.25">
      <c r="A55" t="s">
        <v>228</v>
      </c>
      <c r="B55">
        <v>20447</v>
      </c>
      <c r="C55">
        <v>15.85</v>
      </c>
      <c r="D55">
        <v>20836</v>
      </c>
      <c r="E55">
        <v>12.47</v>
      </c>
      <c r="F55">
        <v>15281</v>
      </c>
      <c r="G55">
        <v>9.07</v>
      </c>
      <c r="H55" s="26">
        <f t="shared" si="2"/>
        <v>11.031469668023369</v>
      </c>
      <c r="K55" t="s">
        <v>228</v>
      </c>
      <c r="L55" s="46">
        <f t="shared" si="3"/>
        <v>0.30400822283764228</v>
      </c>
    </row>
    <row r="56" spans="1:12" x14ac:dyDescent="0.25">
      <c r="A56" t="s">
        <v>229</v>
      </c>
      <c r="B56">
        <v>9936</v>
      </c>
      <c r="C56">
        <v>11.82</v>
      </c>
      <c r="D56">
        <v>7029</v>
      </c>
      <c r="E56">
        <v>9.25</v>
      </c>
      <c r="F56">
        <v>9835</v>
      </c>
      <c r="G56">
        <v>7.98</v>
      </c>
      <c r="H56" s="26">
        <f t="shared" si="2"/>
        <v>8.5093423861480062</v>
      </c>
      <c r="K56" t="s">
        <v>229</v>
      </c>
      <c r="L56" s="46">
        <f t="shared" si="3"/>
        <v>0.28008947663722455</v>
      </c>
    </row>
    <row r="57" spans="1:12" x14ac:dyDescent="0.25">
      <c r="A57" t="s">
        <v>230</v>
      </c>
      <c r="B57">
        <v>5800</v>
      </c>
      <c r="C57">
        <v>12.98</v>
      </c>
      <c r="D57">
        <v>5148</v>
      </c>
      <c r="E57">
        <v>11.88</v>
      </c>
      <c r="F57">
        <v>4423</v>
      </c>
      <c r="G57">
        <v>7.02</v>
      </c>
      <c r="H57" s="26">
        <f t="shared" si="2"/>
        <v>9.6340716748511142</v>
      </c>
      <c r="K57" t="s">
        <v>230</v>
      </c>
      <c r="L57" s="46">
        <f t="shared" si="3"/>
        <v>0.25777567990361216</v>
      </c>
    </row>
    <row r="58" spans="1:12" x14ac:dyDescent="0.25">
      <c r="A58" t="s">
        <v>231</v>
      </c>
      <c r="B58">
        <v>13909</v>
      </c>
      <c r="C58">
        <v>13.15</v>
      </c>
      <c r="D58">
        <v>14151</v>
      </c>
      <c r="E58">
        <v>9.36</v>
      </c>
      <c r="F58">
        <v>11778</v>
      </c>
      <c r="G58">
        <v>8.08</v>
      </c>
      <c r="H58" s="26">
        <f t="shared" si="2"/>
        <v>8.7785722550040486</v>
      </c>
      <c r="K58" t="s">
        <v>231</v>
      </c>
      <c r="L58" s="46">
        <f t="shared" si="3"/>
        <v>0.33242796539893166</v>
      </c>
    </row>
    <row r="59" spans="1:12" x14ac:dyDescent="0.25">
      <c r="A59" t="s">
        <v>232</v>
      </c>
      <c r="B59">
        <v>7227</v>
      </c>
      <c r="C59">
        <v>15.08</v>
      </c>
      <c r="D59">
        <v>9257</v>
      </c>
      <c r="E59">
        <v>11.23</v>
      </c>
      <c r="F59">
        <v>15094</v>
      </c>
      <c r="G59">
        <v>5.9</v>
      </c>
      <c r="H59" s="26">
        <f t="shared" si="2"/>
        <v>7.9261923534967771</v>
      </c>
      <c r="K59" t="s">
        <v>232</v>
      </c>
      <c r="L59" s="46">
        <f t="shared" si="3"/>
        <v>0.47439042748695115</v>
      </c>
    </row>
    <row r="60" spans="1:12" x14ac:dyDescent="0.25">
      <c r="A60" t="s">
        <v>233</v>
      </c>
      <c r="B60">
        <v>11758</v>
      </c>
      <c r="C60">
        <v>13.07</v>
      </c>
      <c r="D60">
        <v>14713</v>
      </c>
      <c r="E60">
        <v>10.039999999999999</v>
      </c>
      <c r="F60">
        <v>8552</v>
      </c>
      <c r="G60">
        <v>8.43</v>
      </c>
      <c r="H60" s="26">
        <f t="shared" si="2"/>
        <v>9.4481788093702992</v>
      </c>
      <c r="K60" t="s">
        <v>233</v>
      </c>
      <c r="L60" s="46">
        <f t="shared" si="3"/>
        <v>0.27710950196095646</v>
      </c>
    </row>
    <row r="61" spans="1:12" x14ac:dyDescent="0.25">
      <c r="A61" t="s">
        <v>234</v>
      </c>
      <c r="B61">
        <v>2955</v>
      </c>
      <c r="C61">
        <v>13.38</v>
      </c>
      <c r="D61">
        <v>5683</v>
      </c>
      <c r="E61">
        <v>9.5399999999999991</v>
      </c>
      <c r="F61">
        <v>8699</v>
      </c>
      <c r="G61">
        <v>8.66</v>
      </c>
      <c r="H61" s="26">
        <f t="shared" si="2"/>
        <v>9.0077291058267264</v>
      </c>
      <c r="K61" t="s">
        <v>234</v>
      </c>
      <c r="L61" s="46">
        <f t="shared" si="3"/>
        <v>0.32677659896661243</v>
      </c>
    </row>
    <row r="62" spans="1:12" x14ac:dyDescent="0.25">
      <c r="A62" t="s">
        <v>235</v>
      </c>
      <c r="B62">
        <v>140734</v>
      </c>
      <c r="C62">
        <v>24.74</v>
      </c>
      <c r="D62">
        <v>172691</v>
      </c>
      <c r="E62">
        <v>21.02</v>
      </c>
      <c r="F62">
        <v>76315</v>
      </c>
      <c r="G62">
        <v>15.25</v>
      </c>
      <c r="H62" s="26">
        <f t="shared" si="2"/>
        <v>19.251618716014875</v>
      </c>
      <c r="K62" t="s">
        <v>235</v>
      </c>
      <c r="L62" s="46">
        <f t="shared" si="3"/>
        <v>0.22184241244887326</v>
      </c>
    </row>
    <row r="63" spans="1:12" x14ac:dyDescent="0.25">
      <c r="A63" t="s">
        <v>236</v>
      </c>
      <c r="B63">
        <v>81948</v>
      </c>
      <c r="C63">
        <v>32.54</v>
      </c>
      <c r="D63">
        <v>113517</v>
      </c>
      <c r="E63">
        <v>26.36</v>
      </c>
      <c r="F63">
        <v>41787</v>
      </c>
      <c r="G63">
        <v>21.62</v>
      </c>
      <c r="H63" s="26">
        <f t="shared" si="2"/>
        <v>25.08462795549374</v>
      </c>
      <c r="K63" t="s">
        <v>236</v>
      </c>
      <c r="L63" s="46">
        <f t="shared" si="3"/>
        <v>0.22911407635237427</v>
      </c>
    </row>
    <row r="64" spans="1:12" x14ac:dyDescent="0.25">
      <c r="A64" t="s">
        <v>237</v>
      </c>
      <c r="B64">
        <v>19796</v>
      </c>
      <c r="C64">
        <v>15.37</v>
      </c>
      <c r="D64">
        <v>25524</v>
      </c>
      <c r="E64">
        <v>10.56</v>
      </c>
      <c r="F64">
        <v>16224</v>
      </c>
      <c r="G64">
        <v>8.2799999999999994</v>
      </c>
      <c r="H64" s="26">
        <f t="shared" si="2"/>
        <v>9.6739522851394089</v>
      </c>
      <c r="K64" t="s">
        <v>237</v>
      </c>
      <c r="L64" s="46">
        <f t="shared" si="3"/>
        <v>0.37059516687446914</v>
      </c>
    </row>
    <row r="65" spans="1:12" x14ac:dyDescent="0.25">
      <c r="A65" t="s">
        <v>238</v>
      </c>
      <c r="B65">
        <v>38990</v>
      </c>
      <c r="C65">
        <v>13.11</v>
      </c>
      <c r="D65">
        <v>33650</v>
      </c>
      <c r="E65">
        <v>10.95</v>
      </c>
      <c r="F65">
        <v>18304</v>
      </c>
      <c r="G65">
        <v>6.88</v>
      </c>
      <c r="H65" s="26">
        <f t="shared" si="2"/>
        <v>9.5160915425183816</v>
      </c>
      <c r="K65" t="s">
        <v>238</v>
      </c>
      <c r="L65" s="46">
        <f t="shared" si="3"/>
        <v>0.27413489378196931</v>
      </c>
    </row>
    <row r="66" spans="1:12" x14ac:dyDescent="0.25">
      <c r="A66" t="s">
        <v>239</v>
      </c>
      <c r="B66">
        <v>4799</v>
      </c>
      <c r="C66">
        <v>34.4</v>
      </c>
      <c r="D66">
        <v>5469</v>
      </c>
      <c r="E66">
        <v>29.55</v>
      </c>
      <c r="F66">
        <v>4988</v>
      </c>
      <c r="G66">
        <v>28.22</v>
      </c>
      <c r="H66" s="26">
        <f t="shared" si="2"/>
        <v>28.91558860093717</v>
      </c>
      <c r="K66" t="s">
        <v>239</v>
      </c>
      <c r="L66" s="46">
        <f t="shared" si="3"/>
        <v>0.15943056392624502</v>
      </c>
    </row>
    <row r="67" spans="1:12" x14ac:dyDescent="0.25">
      <c r="A67" t="s">
        <v>240</v>
      </c>
      <c r="B67">
        <v>2049</v>
      </c>
      <c r="C67">
        <v>26.09</v>
      </c>
      <c r="D67">
        <v>2654</v>
      </c>
      <c r="E67">
        <v>22.32</v>
      </c>
      <c r="F67">
        <v>1415</v>
      </c>
      <c r="G67">
        <v>20.03</v>
      </c>
      <c r="H67" s="26">
        <f t="shared" si="2"/>
        <v>21.523649545342835</v>
      </c>
      <c r="K67" t="s">
        <v>240</v>
      </c>
      <c r="L67" s="46">
        <f t="shared" si="3"/>
        <v>0.17502301474347126</v>
      </c>
    </row>
    <row r="68" spans="1:12" x14ac:dyDescent="0.25">
      <c r="A68" t="s">
        <v>241</v>
      </c>
      <c r="B68">
        <v>2750</v>
      </c>
      <c r="C68">
        <v>40.590000000000003</v>
      </c>
      <c r="D68">
        <v>2815</v>
      </c>
      <c r="E68">
        <v>36.369999999999997</v>
      </c>
      <c r="F68">
        <v>3572</v>
      </c>
      <c r="G68">
        <v>31.46</v>
      </c>
      <c r="H68" s="26">
        <f t="shared" si="2"/>
        <v>33.624028495381239</v>
      </c>
      <c r="K68" t="s">
        <v>241</v>
      </c>
      <c r="L68" s="46">
        <f t="shared" si="3"/>
        <v>0.17161792324756747</v>
      </c>
    </row>
  </sheetData>
  <mergeCells count="4">
    <mergeCell ref="F4:G4"/>
    <mergeCell ref="B3:G3"/>
    <mergeCell ref="B4:C4"/>
    <mergeCell ref="D4:E4"/>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84CF3-BE41-490F-B714-79AD9F00A80B}">
  <sheetPr>
    <tabColor theme="8" tint="0.79998168889431442"/>
  </sheetPr>
  <dimension ref="A1:E26"/>
  <sheetViews>
    <sheetView workbookViewId="0">
      <selection activeCell="B23" sqref="B23"/>
    </sheetView>
  </sheetViews>
  <sheetFormatPr defaultRowHeight="15" x14ac:dyDescent="0.25"/>
  <cols>
    <col min="1" max="1" width="16.7109375" customWidth="1"/>
    <col min="2" max="2" width="150.85546875" style="125" customWidth="1"/>
    <col min="3" max="3" width="19.5703125" style="54" customWidth="1"/>
    <col min="4" max="4" width="11.42578125" style="31" customWidth="1"/>
    <col min="5" max="5" width="18.140625" style="31" customWidth="1"/>
  </cols>
  <sheetData>
    <row r="1" spans="1:5" x14ac:dyDescent="0.25">
      <c r="A1" s="24" t="s">
        <v>136</v>
      </c>
    </row>
    <row r="2" spans="1:5" x14ac:dyDescent="0.25">
      <c r="A2" t="s">
        <v>1118</v>
      </c>
    </row>
    <row r="4" spans="1:5" x14ac:dyDescent="0.25">
      <c r="A4" s="116" t="s">
        <v>613</v>
      </c>
      <c r="B4" s="112" t="s">
        <v>1119</v>
      </c>
      <c r="C4" s="43"/>
      <c r="D4" s="94"/>
      <c r="E4" s="95"/>
    </row>
    <row r="5" spans="1:5" x14ac:dyDescent="0.25">
      <c r="A5" s="258" t="s">
        <v>654</v>
      </c>
      <c r="B5" s="259" t="s">
        <v>1120</v>
      </c>
      <c r="C5" s="145"/>
      <c r="D5" s="94"/>
      <c r="E5" s="95"/>
    </row>
    <row r="6" spans="1:5" x14ac:dyDescent="0.25">
      <c r="A6" s="258" t="s">
        <v>1121</v>
      </c>
      <c r="B6" s="259" t="s">
        <v>1122</v>
      </c>
      <c r="C6" s="145"/>
    </row>
    <row r="7" spans="1:5" x14ac:dyDescent="0.25">
      <c r="A7" s="258" t="s">
        <v>1123</v>
      </c>
      <c r="B7" s="259" t="s">
        <v>1124</v>
      </c>
      <c r="C7" s="145"/>
    </row>
    <row r="8" spans="1:5" x14ac:dyDescent="0.25">
      <c r="A8" s="258" t="s">
        <v>1125</v>
      </c>
      <c r="B8" s="259" t="s">
        <v>1126</v>
      </c>
      <c r="C8" s="145"/>
    </row>
    <row r="9" spans="1:5" x14ac:dyDescent="0.25">
      <c r="A9" s="258" t="s">
        <v>675</v>
      </c>
      <c r="B9" s="259" t="s">
        <v>1127</v>
      </c>
      <c r="C9" s="145"/>
    </row>
    <row r="10" spans="1:5" x14ac:dyDescent="0.25">
      <c r="A10" s="258" t="s">
        <v>1128</v>
      </c>
      <c r="B10" s="259" t="s">
        <v>1129</v>
      </c>
      <c r="C10" s="145"/>
    </row>
    <row r="11" spans="1:5" x14ac:dyDescent="0.25">
      <c r="A11" s="257" t="s">
        <v>657</v>
      </c>
      <c r="B11" s="259" t="s">
        <v>1130</v>
      </c>
      <c r="C11" s="145"/>
    </row>
    <row r="12" spans="1:5" x14ac:dyDescent="0.25">
      <c r="A12" s="257" t="s">
        <v>1131</v>
      </c>
      <c r="B12" s="259" t="s">
        <v>1132</v>
      </c>
      <c r="C12" s="145"/>
    </row>
    <row r="13" spans="1:5" x14ac:dyDescent="0.25">
      <c r="A13" s="257"/>
      <c r="B13" s="259"/>
      <c r="C13" s="145"/>
    </row>
    <row r="14" spans="1:5" x14ac:dyDescent="0.25">
      <c r="A14" s="257"/>
      <c r="B14" s="259"/>
      <c r="C14" s="145"/>
    </row>
    <row r="15" spans="1:5" x14ac:dyDescent="0.25">
      <c r="A15" s="30"/>
      <c r="B15" s="260"/>
      <c r="C15" s="100"/>
    </row>
    <row r="16" spans="1:5" s="31" customFormat="1" x14ac:dyDescent="0.25">
      <c r="A16" t="s">
        <v>197</v>
      </c>
      <c r="B16" s="257" t="s">
        <v>1133</v>
      </c>
    </row>
    <row r="17" spans="1:3" s="31" customFormat="1" x14ac:dyDescent="0.25">
      <c r="A17"/>
      <c r="B17" s="257" t="s">
        <v>1134</v>
      </c>
    </row>
    <row r="18" spans="1:3" s="31" customFormat="1" x14ac:dyDescent="0.25">
      <c r="A18"/>
      <c r="B18" s="257" t="s">
        <v>1135</v>
      </c>
    </row>
    <row r="19" spans="1:3" s="31" customFormat="1" x14ac:dyDescent="0.25">
      <c r="A19"/>
      <c r="B19" s="257" t="s">
        <v>1136</v>
      </c>
    </row>
    <row r="20" spans="1:3" s="31" customFormat="1" x14ac:dyDescent="0.25">
      <c r="A20"/>
      <c r="B20" s="257" t="s">
        <v>1137</v>
      </c>
    </row>
    <row r="21" spans="1:3" s="31" customFormat="1" x14ac:dyDescent="0.25">
      <c r="A21"/>
      <c r="B21" s="257" t="s">
        <v>1138</v>
      </c>
    </row>
    <row r="22" spans="1:3" s="31" customFormat="1" x14ac:dyDescent="0.25">
      <c r="A22"/>
      <c r="B22" s="257" t="s">
        <v>1139</v>
      </c>
    </row>
    <row r="23" spans="1:3" s="31" customFormat="1" x14ac:dyDescent="0.25">
      <c r="A23"/>
      <c r="B23" s="28" t="s">
        <v>1140</v>
      </c>
    </row>
    <row r="24" spans="1:3" s="31" customFormat="1" x14ac:dyDescent="0.25">
      <c r="A24"/>
      <c r="B24" s="28"/>
    </row>
    <row r="25" spans="1:3" s="31" customFormat="1" x14ac:dyDescent="0.25">
      <c r="A25"/>
      <c r="B25" s="28"/>
      <c r="C25" s="144"/>
    </row>
    <row r="26" spans="1:3" s="31" customFormat="1" x14ac:dyDescent="0.25">
      <c r="A26" t="s">
        <v>205</v>
      </c>
      <c r="B26" t="s">
        <v>1118</v>
      </c>
      <c r="C26" s="54"/>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E1A71-2DB2-41E9-8031-46B1CFF9F60F}">
  <sheetPr>
    <tabColor rgb="FFFFFF00"/>
  </sheetPr>
  <dimension ref="A1:R80"/>
  <sheetViews>
    <sheetView workbookViewId="0">
      <selection activeCell="R45" sqref="R45"/>
    </sheetView>
  </sheetViews>
  <sheetFormatPr defaultRowHeight="15" x14ac:dyDescent="0.25"/>
  <cols>
    <col min="1" max="1" width="23.5703125" style="25" customWidth="1"/>
    <col min="2" max="3" width="25.42578125" style="25" customWidth="1"/>
    <col min="4" max="4" width="6.140625" style="25" customWidth="1"/>
    <col min="5" max="6" width="25.42578125" customWidth="1"/>
    <col min="7" max="7" width="11.5703125" style="80" customWidth="1"/>
    <col min="10" max="10" width="22.5703125" customWidth="1"/>
    <col min="11" max="11" width="28.85546875" customWidth="1"/>
    <col min="12" max="12" width="25.5703125" customWidth="1"/>
    <col min="13" max="13" width="5.28515625" customWidth="1"/>
    <col min="14" max="14" width="32" customWidth="1"/>
    <col min="15" max="15" width="27.5703125" style="25" customWidth="1"/>
    <col min="16" max="16" width="11.42578125" style="80" customWidth="1"/>
  </cols>
  <sheetData>
    <row r="1" spans="1:18" x14ac:dyDescent="0.25">
      <c r="A1" s="59" t="s">
        <v>138</v>
      </c>
      <c r="B1" s="59"/>
      <c r="C1" s="59"/>
    </row>
    <row r="2" spans="1:18" x14ac:dyDescent="0.25">
      <c r="A2" s="28" t="s">
        <v>139</v>
      </c>
      <c r="B2" s="28"/>
      <c r="C2" s="28"/>
      <c r="E2" s="31"/>
    </row>
    <row r="3" spans="1:18" x14ac:dyDescent="0.25">
      <c r="A3" s="28"/>
      <c r="B3" s="28"/>
      <c r="C3" s="28"/>
      <c r="E3" s="209"/>
    </row>
    <row r="4" spans="1:18" ht="15.75" thickBot="1" x14ac:dyDescent="0.3">
      <c r="A4" s="124" t="s">
        <v>1141</v>
      </c>
      <c r="B4" s="122"/>
      <c r="C4" s="122"/>
      <c r="D4" s="122"/>
      <c r="E4" s="123"/>
      <c r="F4" s="123"/>
      <c r="G4" s="206"/>
      <c r="J4" s="124" t="s">
        <v>253</v>
      </c>
      <c r="K4" s="122"/>
      <c r="L4" s="122"/>
      <c r="M4" s="122"/>
      <c r="N4" s="123"/>
      <c r="O4" s="122"/>
      <c r="P4" s="208"/>
    </row>
    <row r="5" spans="1:18" ht="33.75" customHeight="1" x14ac:dyDescent="0.25">
      <c r="A5" s="43" t="s">
        <v>165</v>
      </c>
      <c r="B5" s="43" t="s">
        <v>1142</v>
      </c>
      <c r="C5" s="43" t="s">
        <v>1143</v>
      </c>
      <c r="D5" s="43"/>
      <c r="E5" s="43" t="s">
        <v>1144</v>
      </c>
      <c r="F5" s="43" t="s">
        <v>1145</v>
      </c>
      <c r="G5" s="207" t="s">
        <v>1146</v>
      </c>
      <c r="H5" s="54"/>
      <c r="I5" s="54"/>
      <c r="J5" s="43" t="s">
        <v>165</v>
      </c>
      <c r="K5" s="43" t="s">
        <v>1147</v>
      </c>
      <c r="L5" s="43" t="s">
        <v>1143</v>
      </c>
      <c r="M5" s="43"/>
      <c r="N5" s="43" t="s">
        <v>1144</v>
      </c>
      <c r="O5" s="43" t="s">
        <v>1145</v>
      </c>
      <c r="P5" s="207" t="s">
        <v>1146</v>
      </c>
      <c r="R5" s="54"/>
    </row>
    <row r="6" spans="1:18" ht="16.5" customHeight="1" x14ac:dyDescent="0.25">
      <c r="A6" s="60" t="s">
        <v>167</v>
      </c>
      <c r="B6" s="44">
        <v>25.86</v>
      </c>
      <c r="C6" s="44">
        <v>25.21</v>
      </c>
      <c r="D6" s="26"/>
      <c r="E6" s="88">
        <f>$B6 * VLOOKUP(2025, tblCPI[], MATCH(INDEX(tblCPI_Map[CPI Region], MATCH($A6, tblCPI_Map[Census Division and State], 0)), tblCPI[[#Headers],[West]:[National]], 0)+1, FALSE) /VLOOKUP("2026p", tblCPI[], MATCH(INDEX(tblCPI_Map[CPI Region], MATCH($A6, tblCPI_Map[Census Division and State], 0)), tblCPI[[#Headers],[West]:[National]], 0)+1, FALSE)</f>
        <v>25.155642023346303</v>
      </c>
      <c r="F6" s="61">
        <f>C6</f>
        <v>25.21</v>
      </c>
      <c r="G6" s="80">
        <f>(E6-F6)/F6</f>
        <v>-2.1562069279531101E-3</v>
      </c>
      <c r="J6" s="60" t="s">
        <v>167</v>
      </c>
      <c r="K6" s="44">
        <v>29.55</v>
      </c>
      <c r="L6" s="44">
        <v>29.32</v>
      </c>
      <c r="M6" s="26"/>
      <c r="N6" s="88">
        <f>$K6 * VLOOKUP(2025, tblCPI[], MATCH(INDEX(tblCPI_Map[CPI Region], MATCH($J6, tblCPI_Map[Census Division and State], 0)), tblCPI[[#Headers],[West]:[National]], 0)+1, FALSE) /VLOOKUP("2026p", tblCPI[], MATCH(INDEX(tblCPI_Map[CPI Region], MATCH($J6, tblCPI_Map[Census Division and State], 0)), tblCPI[[#Headers],[West]:[National]], 0)+1, FALSE)</f>
        <v>28.745136186770431</v>
      </c>
      <c r="O6" s="88">
        <f>L6</f>
        <v>29.32</v>
      </c>
      <c r="P6" s="80">
        <f>(N6-O6)/O6</f>
        <v>-1.9606542061035799E-2</v>
      </c>
    </row>
    <row r="7" spans="1:18" x14ac:dyDescent="0.25">
      <c r="A7" s="25" t="s">
        <v>168</v>
      </c>
      <c r="B7" s="44">
        <v>26.63</v>
      </c>
      <c r="C7" s="44">
        <v>27.87</v>
      </c>
      <c r="D7" s="26"/>
      <c r="E7" s="88">
        <f>$B7 * VLOOKUP(2025, tblCPI[], MATCH(INDEX(tblCPI_Map[CPI Region], MATCH($A7, tblCPI_Map[Census Division and State], 0)), tblCPI[[#Headers],[West]:[National]], 0)+1, FALSE) /VLOOKUP("2026p", tblCPI[], MATCH(INDEX(tblCPI_Map[CPI Region], MATCH($A7, tblCPI_Map[Census Division and State], 0)), tblCPI[[#Headers],[West]:[National]], 0)+1, FALSE)</f>
        <v>25.904669260700388</v>
      </c>
      <c r="F7" s="61">
        <f t="shared" ref="F7:F67" si="0">C7</f>
        <v>27.87</v>
      </c>
      <c r="G7" s="80">
        <f t="shared" ref="G7:G66" si="1">(E7-F7)/F7</f>
        <v>-7.0517787560086587E-2</v>
      </c>
      <c r="J7" s="25" t="s">
        <v>168</v>
      </c>
      <c r="K7" s="44">
        <v>30.23</v>
      </c>
      <c r="L7" s="44">
        <v>31.85</v>
      </c>
      <c r="M7" s="26"/>
      <c r="N7" s="88">
        <f>$K7 * VLOOKUP(2025, tblCPI[], MATCH(INDEX(tblCPI_Map[CPI Region], MATCH($J7, tblCPI_Map[Census Division and State], 0)), tblCPI[[#Headers],[West]:[National]], 0)+1, FALSE) /VLOOKUP("2026p", tblCPI[], MATCH(INDEX(tblCPI_Map[CPI Region], MATCH($J7, tblCPI_Map[Census Division and State], 0)), tblCPI[[#Headers],[West]:[National]], 0)+1, FALSE)</f>
        <v>29.406614785992218</v>
      </c>
      <c r="O7" s="88">
        <f t="shared" ref="O7:O67" si="2">L7</f>
        <v>31.85</v>
      </c>
      <c r="P7" s="80">
        <f>(N7-O7)/O7</f>
        <v>-7.6715391334624267E-2</v>
      </c>
    </row>
    <row r="8" spans="1:18" x14ac:dyDescent="0.25">
      <c r="A8" s="25" t="s">
        <v>169</v>
      </c>
      <c r="B8" s="44">
        <v>25.17</v>
      </c>
      <c r="C8" s="44">
        <v>22.62</v>
      </c>
      <c r="D8" s="26"/>
      <c r="E8" s="88">
        <f>$B8 * VLOOKUP(2025, tblCPI[], MATCH(INDEX(tblCPI_Map[CPI Region], MATCH($A8, tblCPI_Map[Census Division and State], 0)), tblCPI[[#Headers],[West]:[National]], 0)+1, FALSE) /VLOOKUP("2026p", tblCPI[], MATCH(INDEX(tblCPI_Map[CPI Region], MATCH($A8, tblCPI_Map[Census Division and State], 0)), tblCPI[[#Headers],[West]:[National]], 0)+1, FALSE)</f>
        <v>24.484435797665373</v>
      </c>
      <c r="F8" s="61">
        <f t="shared" si="0"/>
        <v>22.62</v>
      </c>
      <c r="G8" s="80">
        <f t="shared" si="1"/>
        <v>8.2424217403420527E-2</v>
      </c>
      <c r="J8" s="25" t="s">
        <v>169</v>
      </c>
      <c r="K8" s="44">
        <v>29.89</v>
      </c>
      <c r="L8" s="44">
        <v>27.14</v>
      </c>
      <c r="M8" s="26"/>
      <c r="N8" s="88">
        <f>$K8 * VLOOKUP(2025, tblCPI[], MATCH(INDEX(tblCPI_Map[CPI Region], MATCH($J8, tblCPI_Map[Census Division and State], 0)), tblCPI[[#Headers],[West]:[National]], 0)+1, FALSE) /VLOOKUP("2026p", tblCPI[], MATCH(INDEX(tblCPI_Map[CPI Region], MATCH($J8, tblCPI_Map[Census Division and State], 0)), tblCPI[[#Headers],[West]:[National]], 0)+1, FALSE)</f>
        <v>29.075875486381321</v>
      </c>
      <c r="O8" s="88">
        <f t="shared" si="2"/>
        <v>27.14</v>
      </c>
      <c r="P8" s="80">
        <f t="shared" ref="P8:P67" si="3">(N8-O8)/O8</f>
        <v>7.132923678634194E-2</v>
      </c>
    </row>
    <row r="9" spans="1:18" x14ac:dyDescent="0.25">
      <c r="A9" s="25" t="s">
        <v>170</v>
      </c>
      <c r="B9" s="44">
        <v>26.66</v>
      </c>
      <c r="C9" s="44">
        <v>25.67</v>
      </c>
      <c r="D9" s="26"/>
      <c r="E9" s="88">
        <f>$B9 * VLOOKUP(2025, tblCPI[], MATCH(INDEX(tblCPI_Map[CPI Region], MATCH($A9, tblCPI_Map[Census Division and State], 0)), tblCPI[[#Headers],[West]:[National]], 0)+1, FALSE) /VLOOKUP("2026p", tblCPI[], MATCH(INDEX(tblCPI_Map[CPI Region], MATCH($A9, tblCPI_Map[Census Division and State], 0)), tblCPI[[#Headers],[West]:[National]], 0)+1, FALSE)</f>
        <v>25.933852140077821</v>
      </c>
      <c r="F9" s="61">
        <f t="shared" si="0"/>
        <v>25.67</v>
      </c>
      <c r="G9" s="80">
        <f t="shared" si="1"/>
        <v>1.0278618623989853E-2</v>
      </c>
      <c r="J9" s="25" t="s">
        <v>170</v>
      </c>
      <c r="K9" s="44">
        <v>30.4</v>
      </c>
      <c r="L9" s="44">
        <v>30.31</v>
      </c>
      <c r="M9" s="26"/>
      <c r="N9" s="88">
        <f>$K9 * VLOOKUP(2025, tblCPI[], MATCH(INDEX(tblCPI_Map[CPI Region], MATCH($J9, tblCPI_Map[Census Division and State], 0)), tblCPI[[#Headers],[West]:[National]], 0)+1, FALSE) /VLOOKUP("2026p", tblCPI[], MATCH(INDEX(tblCPI_Map[CPI Region], MATCH($J9, tblCPI_Map[Census Division and State], 0)), tblCPI[[#Headers],[West]:[National]], 0)+1, FALSE)</f>
        <v>29.571984435797663</v>
      </c>
      <c r="O9" s="88">
        <f t="shared" si="2"/>
        <v>30.31</v>
      </c>
      <c r="P9" s="80">
        <f t="shared" si="3"/>
        <v>-2.4348913368602291E-2</v>
      </c>
    </row>
    <row r="10" spans="1:18" x14ac:dyDescent="0.25">
      <c r="A10" s="25" t="s">
        <v>171</v>
      </c>
      <c r="B10" s="44">
        <v>23.73</v>
      </c>
      <c r="C10" s="44">
        <v>21.16</v>
      </c>
      <c r="D10" s="26"/>
      <c r="E10" s="88">
        <f>$B10 * VLOOKUP(2025, tblCPI[], MATCH(INDEX(tblCPI_Map[CPI Region], MATCH($A10, tblCPI_Map[Census Division and State], 0)), tblCPI[[#Headers],[West]:[National]], 0)+1, FALSE) /VLOOKUP("2026p", tblCPI[], MATCH(INDEX(tblCPI_Map[CPI Region], MATCH($A10, tblCPI_Map[Census Division and State], 0)), tblCPI[[#Headers],[West]:[National]], 0)+1, FALSE)</f>
        <v>23.083657587548636</v>
      </c>
      <c r="F10" s="61">
        <f t="shared" si="0"/>
        <v>21.16</v>
      </c>
      <c r="G10" s="80">
        <f t="shared" si="1"/>
        <v>9.0910093929519653E-2</v>
      </c>
      <c r="J10" s="25" t="s">
        <v>171</v>
      </c>
      <c r="K10" s="44">
        <v>26.7</v>
      </c>
      <c r="L10" s="44">
        <v>23.21</v>
      </c>
      <c r="M10" s="26"/>
      <c r="N10" s="88">
        <f>$K10 * VLOOKUP(2025, tblCPI[], MATCH(INDEX(tblCPI_Map[CPI Region], MATCH($J10, tblCPI_Map[Census Division and State], 0)), tblCPI[[#Headers],[West]:[National]], 0)+1, FALSE) /VLOOKUP("2026p", tblCPI[], MATCH(INDEX(tblCPI_Map[CPI Region], MATCH($J10, tblCPI_Map[Census Division and State], 0)), tblCPI[[#Headers],[West]:[National]], 0)+1, FALSE)</f>
        <v>25.972762645914397</v>
      </c>
      <c r="O10" s="88">
        <f t="shared" si="2"/>
        <v>23.21</v>
      </c>
      <c r="P10" s="80">
        <f t="shared" si="3"/>
        <v>0.11903328935434709</v>
      </c>
    </row>
    <row r="11" spans="1:18" x14ac:dyDescent="0.25">
      <c r="A11" s="25" t="s">
        <v>172</v>
      </c>
      <c r="B11" s="44">
        <v>25.98</v>
      </c>
      <c r="C11" s="44">
        <v>27.7</v>
      </c>
      <c r="D11" s="26"/>
      <c r="E11" s="88">
        <f>$B11 * VLOOKUP(2025, tblCPI[], MATCH(INDEX(tblCPI_Map[CPI Region], MATCH($A11, tblCPI_Map[Census Division and State], 0)), tblCPI[[#Headers],[West]:[National]], 0)+1, FALSE) /VLOOKUP("2026p", tblCPI[], MATCH(INDEX(tblCPI_Map[CPI Region], MATCH($A11, tblCPI_Map[Census Division and State], 0)), tblCPI[[#Headers],[West]:[National]], 0)+1, FALSE)</f>
        <v>25.272373540856034</v>
      </c>
      <c r="F11" s="61">
        <f t="shared" si="0"/>
        <v>27.7</v>
      </c>
      <c r="G11" s="80">
        <f t="shared" si="1"/>
        <v>-8.7639944373428369E-2</v>
      </c>
      <c r="J11" s="25" t="s">
        <v>172</v>
      </c>
      <c r="K11" s="44">
        <v>29.49</v>
      </c>
      <c r="L11" s="44">
        <v>31.64</v>
      </c>
      <c r="M11" s="26"/>
      <c r="N11" s="88">
        <f>$K11 * VLOOKUP(2025, tblCPI[], MATCH(INDEX(tblCPI_Map[CPI Region], MATCH($J11, tblCPI_Map[Census Division and State], 0)), tblCPI[[#Headers],[West]:[National]], 0)+1, FALSE) /VLOOKUP("2026p", tblCPI[], MATCH(INDEX(tblCPI_Map[CPI Region], MATCH($J11, tblCPI_Map[Census Division and State], 0)), tblCPI[[#Headers],[West]:[National]], 0)+1, FALSE)</f>
        <v>28.686770428015564</v>
      </c>
      <c r="O11" s="88">
        <f t="shared" si="2"/>
        <v>31.64</v>
      </c>
      <c r="P11" s="80">
        <f t="shared" si="3"/>
        <v>-9.3338482047548577E-2</v>
      </c>
    </row>
    <row r="12" spans="1:18" x14ac:dyDescent="0.25">
      <c r="A12" s="25" t="s">
        <v>173</v>
      </c>
      <c r="B12" s="44">
        <v>20.309999999999999</v>
      </c>
      <c r="C12" s="44">
        <v>19.04</v>
      </c>
      <c r="D12" s="26"/>
      <c r="E12" s="88">
        <f>$B12 * VLOOKUP(2025, tblCPI[], MATCH(INDEX(tblCPI_Map[CPI Region], MATCH($A12, tblCPI_Map[Census Division and State], 0)), tblCPI[[#Headers],[West]:[National]], 0)+1, FALSE) /VLOOKUP("2026p", tblCPI[], MATCH(INDEX(tblCPI_Map[CPI Region], MATCH($A12, tblCPI_Map[Census Division and State], 0)), tblCPI[[#Headers],[West]:[National]], 0)+1, FALSE)</f>
        <v>19.7568093385214</v>
      </c>
      <c r="F12" s="61">
        <f t="shared" si="0"/>
        <v>19.04</v>
      </c>
      <c r="G12" s="80">
        <f t="shared" si="1"/>
        <v>3.7647549292090375E-2</v>
      </c>
      <c r="J12" s="25" t="s">
        <v>173</v>
      </c>
      <c r="K12" s="44">
        <v>23.72</v>
      </c>
      <c r="L12" s="44">
        <v>22.2</v>
      </c>
      <c r="M12" s="26"/>
      <c r="N12" s="88">
        <f>$K12 * VLOOKUP(2025, tblCPI[], MATCH(INDEX(tblCPI_Map[CPI Region], MATCH($J12, tblCPI_Map[Census Division and State], 0)), tblCPI[[#Headers],[West]:[National]], 0)+1, FALSE) /VLOOKUP("2026p", tblCPI[], MATCH(INDEX(tblCPI_Map[CPI Region], MATCH($J12, tblCPI_Map[Census Division and State], 0)), tblCPI[[#Headers],[West]:[National]], 0)+1, FALSE)</f>
        <v>23.073929961089494</v>
      </c>
      <c r="O12" s="88">
        <f t="shared" si="2"/>
        <v>22.2</v>
      </c>
      <c r="P12" s="80">
        <f t="shared" si="3"/>
        <v>3.9366214463490749E-2</v>
      </c>
    </row>
    <row r="13" spans="1:18" x14ac:dyDescent="0.25">
      <c r="A13" s="60" t="s">
        <v>174</v>
      </c>
      <c r="B13" s="44">
        <v>19.66</v>
      </c>
      <c r="C13" s="44">
        <v>17.14</v>
      </c>
      <c r="D13" s="26"/>
      <c r="E13" s="88">
        <f>$B13 * VLOOKUP(2025, tblCPI[], MATCH(INDEX(tblCPI_Map[CPI Region], MATCH($A13, tblCPI_Map[Census Division and State], 0)), tblCPI[[#Headers],[West]:[National]], 0)+1, FALSE) /VLOOKUP("2026p", tblCPI[], MATCH(INDEX(tblCPI_Map[CPI Region], MATCH($A13, tblCPI_Map[Census Division and State], 0)), tblCPI[[#Headers],[West]:[National]], 0)+1, FALSE)</f>
        <v>19.124513618677042</v>
      </c>
      <c r="F13" s="61">
        <f t="shared" si="0"/>
        <v>17.14</v>
      </c>
      <c r="G13" s="80">
        <f t="shared" si="1"/>
        <v>0.11578259152141433</v>
      </c>
      <c r="J13" s="60" t="s">
        <v>174</v>
      </c>
      <c r="K13" s="44">
        <v>24.32</v>
      </c>
      <c r="L13" s="44">
        <v>21.28</v>
      </c>
      <c r="M13" s="26"/>
      <c r="N13" s="88">
        <f>$K13 * VLOOKUP(2025, tblCPI[], MATCH(INDEX(tblCPI_Map[CPI Region], MATCH($J13, tblCPI_Map[Census Division and State], 0)), tblCPI[[#Headers],[West]:[National]], 0)+1, FALSE) /VLOOKUP("2026p", tblCPI[], MATCH(INDEX(tblCPI_Map[CPI Region], MATCH($J13, tblCPI_Map[Census Division and State], 0)), tblCPI[[#Headers],[West]:[National]], 0)+1, FALSE)</f>
        <v>23.65758754863813</v>
      </c>
      <c r="O13" s="88">
        <f t="shared" si="2"/>
        <v>21.28</v>
      </c>
      <c r="P13" s="80">
        <f t="shared" si="3"/>
        <v>0.11172873818788198</v>
      </c>
    </row>
    <row r="14" spans="1:18" x14ac:dyDescent="0.25">
      <c r="A14" s="25" t="s">
        <v>175</v>
      </c>
      <c r="B14" s="44">
        <v>19.37</v>
      </c>
      <c r="C14" s="44">
        <v>16.89</v>
      </c>
      <c r="D14" s="26"/>
      <c r="E14" s="88">
        <f>$B14 * VLOOKUP(2025, tblCPI[], MATCH(INDEX(tblCPI_Map[CPI Region], MATCH($A14, tblCPI_Map[Census Division and State], 0)), tblCPI[[#Headers],[West]:[National]], 0)+1, FALSE) /VLOOKUP("2026p", tblCPI[], MATCH(INDEX(tblCPI_Map[CPI Region], MATCH($A14, tblCPI_Map[Census Division and State], 0)), tblCPI[[#Headers],[West]:[National]], 0)+1, FALSE)</f>
        <v>18.842412451361866</v>
      </c>
      <c r="F14" s="61">
        <f t="shared" si="0"/>
        <v>16.89</v>
      </c>
      <c r="G14" s="80">
        <f t="shared" si="1"/>
        <v>0.11559576384617323</v>
      </c>
      <c r="J14" s="25" t="s">
        <v>175</v>
      </c>
      <c r="K14" s="44">
        <v>23.28</v>
      </c>
      <c r="L14" s="44">
        <v>19.82</v>
      </c>
      <c r="M14" s="26"/>
      <c r="N14" s="88">
        <f>$K14 * VLOOKUP(2025, tblCPI[], MATCH(INDEX(tblCPI_Map[CPI Region], MATCH($J14, tblCPI_Map[Census Division and State], 0)), tblCPI[[#Headers],[West]:[National]], 0)+1, FALSE) /VLOOKUP("2026p", tblCPI[], MATCH(INDEX(tblCPI_Map[CPI Region], MATCH($J14, tblCPI_Map[Census Division and State], 0)), tblCPI[[#Headers],[West]:[National]], 0)+1, FALSE)</f>
        <v>22.645914396887161</v>
      </c>
      <c r="O14" s="88">
        <f t="shared" si="2"/>
        <v>19.82</v>
      </c>
      <c r="P14" s="80">
        <f t="shared" si="3"/>
        <v>0.14257893021630477</v>
      </c>
    </row>
    <row r="15" spans="1:18" x14ac:dyDescent="0.25">
      <c r="A15" s="25" t="s">
        <v>176</v>
      </c>
      <c r="B15" s="44">
        <v>23.67</v>
      </c>
      <c r="C15" s="44">
        <v>20.99</v>
      </c>
      <c r="D15" s="26"/>
      <c r="E15" s="88">
        <f>$B15 * VLOOKUP(2025, tblCPI[], MATCH(INDEX(tblCPI_Map[CPI Region], MATCH($A15, tblCPI_Map[Census Division and State], 0)), tblCPI[[#Headers],[West]:[National]], 0)+1, FALSE) /VLOOKUP("2026p", tblCPI[], MATCH(INDEX(tblCPI_Map[CPI Region], MATCH($A15, tblCPI_Map[Census Division and State], 0)), tblCPI[[#Headers],[West]:[National]], 0)+1, FALSE)</f>
        <v>23.025291828793776</v>
      </c>
      <c r="F15" s="61">
        <f t="shared" si="0"/>
        <v>20.99</v>
      </c>
      <c r="G15" s="80">
        <f t="shared" si="1"/>
        <v>9.6964832243629243E-2</v>
      </c>
      <c r="J15" s="25" t="s">
        <v>176</v>
      </c>
      <c r="K15" s="44">
        <v>29.08</v>
      </c>
      <c r="L15" s="44">
        <v>25.67</v>
      </c>
      <c r="M15" s="26"/>
      <c r="N15" s="88">
        <f>$K15 * VLOOKUP(2025, tblCPI[], MATCH(INDEX(tblCPI_Map[CPI Region], MATCH($J15, tblCPI_Map[Census Division and State], 0)), tblCPI[[#Headers],[West]:[National]], 0)+1, FALSE) /VLOOKUP("2026p", tblCPI[], MATCH(INDEX(tblCPI_Map[CPI Region], MATCH($J15, tblCPI_Map[Census Division and State], 0)), tblCPI[[#Headers],[West]:[National]], 0)+1, FALSE)</f>
        <v>28.287937743190657</v>
      </c>
      <c r="O15" s="88">
        <f t="shared" si="2"/>
        <v>25.67</v>
      </c>
      <c r="P15" s="80">
        <f t="shared" si="3"/>
        <v>0.10198432969188372</v>
      </c>
    </row>
    <row r="16" spans="1:18" x14ac:dyDescent="0.25">
      <c r="A16" s="25" t="s">
        <v>177</v>
      </c>
      <c r="B16" s="44">
        <v>15.92</v>
      </c>
      <c r="C16" s="44">
        <v>13.53</v>
      </c>
      <c r="D16" s="26"/>
      <c r="E16" s="88">
        <f>$B16 * VLOOKUP(2025, tblCPI[], MATCH(INDEX(tblCPI_Map[CPI Region], MATCH($A16, tblCPI_Map[Census Division and State], 0)), tblCPI[[#Headers],[West]:[National]], 0)+1, FALSE) /VLOOKUP("2026p", tblCPI[], MATCH(INDEX(tblCPI_Map[CPI Region], MATCH($A16, tblCPI_Map[Census Division and State], 0)), tblCPI[[#Headers],[West]:[National]], 0)+1, FALSE)</f>
        <v>15.486381322957198</v>
      </c>
      <c r="F16" s="61">
        <f t="shared" si="0"/>
        <v>13.53</v>
      </c>
      <c r="G16" s="80">
        <f t="shared" si="1"/>
        <v>0.14459581100940128</v>
      </c>
      <c r="J16" s="25" t="s">
        <v>177</v>
      </c>
      <c r="K16" s="44">
        <v>20.61</v>
      </c>
      <c r="L16" s="44">
        <v>18.13</v>
      </c>
      <c r="M16" s="26"/>
      <c r="N16" s="88">
        <f>$K16 * VLOOKUP(2025, tblCPI[], MATCH(INDEX(tblCPI_Map[CPI Region], MATCH($J16, tblCPI_Map[Census Division and State], 0)), tblCPI[[#Headers],[West]:[National]], 0)+1, FALSE) /VLOOKUP("2026p", tblCPI[], MATCH(INDEX(tblCPI_Map[CPI Region], MATCH($J16, tblCPI_Map[Census Division and State], 0)), tblCPI[[#Headers],[West]:[National]], 0)+1, FALSE)</f>
        <v>20.048638132295718</v>
      </c>
      <c r="O16" s="88">
        <f t="shared" si="2"/>
        <v>18.13</v>
      </c>
      <c r="P16" s="80">
        <f t="shared" si="3"/>
        <v>0.10582670338090011</v>
      </c>
    </row>
    <row r="17" spans="1:16" x14ac:dyDescent="0.25">
      <c r="A17" s="60" t="s">
        <v>178</v>
      </c>
      <c r="B17" s="44">
        <v>13.99</v>
      </c>
      <c r="C17" s="44">
        <v>12.78</v>
      </c>
      <c r="D17" s="26"/>
      <c r="E17" s="88">
        <f>$B17 * VLOOKUP(2025, tblCPI[], MATCH(INDEX(tblCPI_Map[CPI Region], MATCH($A17, tblCPI_Map[Census Division and State], 0)), tblCPI[[#Headers],[West]:[National]], 0)+1, FALSE) /VLOOKUP("2026p", tblCPI[], MATCH(INDEX(tblCPI_Map[CPI Region], MATCH($A17, tblCPI_Map[Census Division and State], 0)), tblCPI[[#Headers],[West]:[National]], 0)+1, FALSE)</f>
        <v>13.60894941634241</v>
      </c>
      <c r="F17" s="61">
        <f t="shared" si="0"/>
        <v>12.78</v>
      </c>
      <c r="G17" s="80">
        <f t="shared" si="1"/>
        <v>6.4863021623036851E-2</v>
      </c>
      <c r="J17" s="60" t="s">
        <v>178</v>
      </c>
      <c r="K17" s="44">
        <v>18.38</v>
      </c>
      <c r="L17" s="44">
        <v>16.8</v>
      </c>
      <c r="M17" s="26"/>
      <c r="N17" s="88">
        <f>$K17 * VLOOKUP(2025, tblCPI[], MATCH(INDEX(tblCPI_Map[CPI Region], MATCH($J17, tblCPI_Map[Census Division and State], 0)), tblCPI[[#Headers],[West]:[National]], 0)+1, FALSE) /VLOOKUP("2026p", tblCPI[], MATCH(INDEX(tblCPI_Map[CPI Region], MATCH($J17, tblCPI_Map[Census Division and State], 0)), tblCPI[[#Headers],[West]:[National]], 0)+1, FALSE)</f>
        <v>17.879377431906612</v>
      </c>
      <c r="O17" s="88">
        <f t="shared" si="2"/>
        <v>16.8</v>
      </c>
      <c r="P17" s="80">
        <f t="shared" si="3"/>
        <v>6.4248656661107795E-2</v>
      </c>
    </row>
    <row r="18" spans="1:16" x14ac:dyDescent="0.25">
      <c r="A18" s="25" t="s">
        <v>179</v>
      </c>
      <c r="B18" s="44">
        <v>13.71</v>
      </c>
      <c r="C18" s="44">
        <v>13.21</v>
      </c>
      <c r="D18" s="26"/>
      <c r="E18" s="88">
        <f>$B18 * VLOOKUP(2025, tblCPI[], MATCH(INDEX(tblCPI_Map[CPI Region], MATCH($A18, tblCPI_Map[Census Division and State], 0)), tblCPI[[#Headers],[West]:[National]], 0)+1, FALSE) /VLOOKUP("2026p", tblCPI[], MATCH(INDEX(tblCPI_Map[CPI Region], MATCH($A18, tblCPI_Map[Census Division and State], 0)), tblCPI[[#Headers],[West]:[National]], 0)+1, FALSE)</f>
        <v>13.336575875486382</v>
      </c>
      <c r="F18" s="61">
        <f t="shared" si="0"/>
        <v>13.21</v>
      </c>
      <c r="G18" s="80">
        <f t="shared" si="1"/>
        <v>9.5818225197866046E-3</v>
      </c>
      <c r="J18" s="25" t="s">
        <v>179</v>
      </c>
      <c r="K18" s="44">
        <v>18.149999999999999</v>
      </c>
      <c r="L18" s="44">
        <v>16.86</v>
      </c>
      <c r="M18" s="26"/>
      <c r="N18" s="88">
        <f>$K18 * VLOOKUP(2025, tblCPI[], MATCH(INDEX(tblCPI_Map[CPI Region], MATCH($J18, tblCPI_Map[Census Division and State], 0)), tblCPI[[#Headers],[West]:[National]], 0)+1, FALSE) /VLOOKUP("2026p", tblCPI[], MATCH(INDEX(tblCPI_Map[CPI Region], MATCH($J18, tblCPI_Map[Census Division and State], 0)), tblCPI[[#Headers],[West]:[National]], 0)+1, FALSE)</f>
        <v>17.655642023346303</v>
      </c>
      <c r="O18" s="88">
        <f t="shared" si="2"/>
        <v>16.86</v>
      </c>
      <c r="P18" s="80">
        <f t="shared" si="3"/>
        <v>4.7191104587562489E-2</v>
      </c>
    </row>
    <row r="19" spans="1:16" x14ac:dyDescent="0.25">
      <c r="A19" s="25" t="s">
        <v>180</v>
      </c>
      <c r="B19" s="44">
        <v>13</v>
      </c>
      <c r="C19" s="44">
        <v>12.22</v>
      </c>
      <c r="D19" s="26"/>
      <c r="E19" s="88">
        <f>$B19 * VLOOKUP(2025, tblCPI[], MATCH(INDEX(tblCPI_Map[CPI Region], MATCH($A19, tblCPI_Map[Census Division and State], 0)), tblCPI[[#Headers],[West]:[National]], 0)+1, FALSE) /VLOOKUP("2026p", tblCPI[], MATCH(INDEX(tblCPI_Map[CPI Region], MATCH($A19, tblCPI_Map[Census Division and State], 0)), tblCPI[[#Headers],[West]:[National]], 0)+1, FALSE)</f>
        <v>12.645914396887159</v>
      </c>
      <c r="F19" s="61">
        <f t="shared" si="0"/>
        <v>12.22</v>
      </c>
      <c r="G19" s="80">
        <f t="shared" si="1"/>
        <v>3.4853878632337021E-2</v>
      </c>
      <c r="J19" s="25" t="s">
        <v>180</v>
      </c>
      <c r="K19" s="44">
        <v>16.82</v>
      </c>
      <c r="L19" s="44">
        <v>15.4</v>
      </c>
      <c r="M19" s="26"/>
      <c r="N19" s="88">
        <f>$K19 * VLOOKUP(2025, tblCPI[], MATCH(INDEX(tblCPI_Map[CPI Region], MATCH($J19, tblCPI_Map[Census Division and State], 0)), tblCPI[[#Headers],[West]:[National]], 0)+1, FALSE) /VLOOKUP("2026p", tblCPI[], MATCH(INDEX(tblCPI_Map[CPI Region], MATCH($J19, tblCPI_Map[Census Division and State], 0)), tblCPI[[#Headers],[West]:[National]], 0)+1, FALSE)</f>
        <v>16.361867704280154</v>
      </c>
      <c r="O19" s="88">
        <f t="shared" si="2"/>
        <v>15.4</v>
      </c>
      <c r="P19" s="80">
        <f t="shared" si="3"/>
        <v>6.2458941836373634E-2</v>
      </c>
    </row>
    <row r="20" spans="1:16" x14ac:dyDescent="0.25">
      <c r="A20" s="25" t="s">
        <v>181</v>
      </c>
      <c r="B20" s="44">
        <v>15.28</v>
      </c>
      <c r="C20" s="44">
        <v>14.26</v>
      </c>
      <c r="D20" s="26"/>
      <c r="E20" s="88">
        <f>$B20 * VLOOKUP(2025, tblCPI[], MATCH(INDEX(tblCPI_Map[CPI Region], MATCH($A20, tblCPI_Map[Census Division and State], 0)), tblCPI[[#Headers],[West]:[National]], 0)+1, FALSE) /VLOOKUP("2026p", tblCPI[], MATCH(INDEX(tblCPI_Map[CPI Region], MATCH($A20, tblCPI_Map[Census Division and State], 0)), tblCPI[[#Headers],[West]:[National]], 0)+1, FALSE)</f>
        <v>14.863813229571983</v>
      </c>
      <c r="F20" s="61">
        <f t="shared" si="0"/>
        <v>14.26</v>
      </c>
      <c r="G20" s="80">
        <f t="shared" si="1"/>
        <v>4.2343143728750587E-2</v>
      </c>
      <c r="J20" s="25" t="s">
        <v>181</v>
      </c>
      <c r="K20" s="44">
        <v>20.440000000000001</v>
      </c>
      <c r="L20" s="44">
        <v>19.09</v>
      </c>
      <c r="M20" s="26"/>
      <c r="N20" s="88">
        <f>$K20 * VLOOKUP(2025, tblCPI[], MATCH(INDEX(tblCPI_Map[CPI Region], MATCH($J20, tblCPI_Map[Census Division and State], 0)), tblCPI[[#Headers],[West]:[National]], 0)+1, FALSE) /VLOOKUP("2026p", tblCPI[], MATCH(INDEX(tblCPI_Map[CPI Region], MATCH($J20, tblCPI_Map[Census Division and State], 0)), tblCPI[[#Headers],[West]:[National]], 0)+1, FALSE)</f>
        <v>19.883268482490269</v>
      </c>
      <c r="O20" s="88">
        <f t="shared" si="2"/>
        <v>19.09</v>
      </c>
      <c r="P20" s="80">
        <f t="shared" si="3"/>
        <v>4.155413737507959E-2</v>
      </c>
    </row>
    <row r="21" spans="1:16" x14ac:dyDescent="0.25">
      <c r="A21" s="25" t="s">
        <v>182</v>
      </c>
      <c r="B21" s="44">
        <v>14.21</v>
      </c>
      <c r="C21" s="44">
        <v>11.76</v>
      </c>
      <c r="D21" s="44"/>
      <c r="E21" s="88">
        <f>$B21 * VLOOKUP(2025, tblCPI[], MATCH(INDEX(tblCPI_Map[CPI Region], MATCH($A21, tblCPI_Map[Census Division and State], 0)), tblCPI[[#Headers],[West]:[National]], 0)+1, FALSE) /VLOOKUP("2026p", tblCPI[], MATCH(INDEX(tblCPI_Map[CPI Region], MATCH($A21, tblCPI_Map[Census Division and State], 0)), tblCPI[[#Headers],[West]:[National]], 0)+1, FALSE)</f>
        <v>13.822957198443579</v>
      </c>
      <c r="F21" s="61">
        <f t="shared" si="0"/>
        <v>11.76</v>
      </c>
      <c r="G21" s="80">
        <f t="shared" si="1"/>
        <v>0.17542153047989617</v>
      </c>
      <c r="J21" s="25" t="s">
        <v>182</v>
      </c>
      <c r="K21" s="44">
        <v>18.18</v>
      </c>
      <c r="L21" s="44">
        <v>15.91</v>
      </c>
      <c r="M21" s="44"/>
      <c r="N21" s="88">
        <f>$K21 * VLOOKUP(2025, tblCPI[], MATCH(INDEX(tblCPI_Map[CPI Region], MATCH($J21, tblCPI_Map[Census Division and State], 0)), tblCPI[[#Headers],[West]:[National]], 0)+1, FALSE) /VLOOKUP("2026p", tblCPI[], MATCH(INDEX(tblCPI_Map[CPI Region], MATCH($J21, tblCPI_Map[Census Division and State], 0)), tblCPI[[#Headers],[West]:[National]], 0)+1, FALSE)</f>
        <v>17.684824902723733</v>
      </c>
      <c r="O21" s="88">
        <f t="shared" si="2"/>
        <v>15.91</v>
      </c>
      <c r="P21" s="80">
        <f t="shared" si="3"/>
        <v>0.11155404793989521</v>
      </c>
    </row>
    <row r="22" spans="1:16" x14ac:dyDescent="0.25">
      <c r="A22" s="25" t="s">
        <v>185</v>
      </c>
      <c r="B22" s="44">
        <v>13.68</v>
      </c>
      <c r="C22" s="44">
        <v>13</v>
      </c>
      <c r="D22" s="44"/>
      <c r="E22" s="88">
        <f>$B22 * VLOOKUP(2025, tblCPI[], MATCH(INDEX(tblCPI_Map[CPI Region], MATCH($A22, tblCPI_Map[Census Division and State], 0)), tblCPI[[#Headers],[West]:[National]], 0)+1, FALSE) /VLOOKUP("2026p", tblCPI[], MATCH(INDEX(tblCPI_Map[CPI Region], MATCH($A22, tblCPI_Map[Census Division and State], 0)), tblCPI[[#Headers],[West]:[National]], 0)+1, FALSE)</f>
        <v>13.307392996108948</v>
      </c>
      <c r="F22" s="61">
        <f t="shared" si="0"/>
        <v>13</v>
      </c>
      <c r="G22" s="80">
        <f t="shared" si="1"/>
        <v>2.3645615085303717E-2</v>
      </c>
      <c r="J22" s="25" t="s">
        <v>185</v>
      </c>
      <c r="K22" s="44">
        <v>18.690000000000001</v>
      </c>
      <c r="L22" s="44">
        <v>17.64</v>
      </c>
      <c r="M22" s="44"/>
      <c r="N22" s="88">
        <f>$K22 * VLOOKUP(2025, tblCPI[], MATCH(INDEX(tblCPI_Map[CPI Region], MATCH($J22, tblCPI_Map[Census Division and State], 0)), tblCPI[[#Headers],[West]:[National]], 0)+1, FALSE) /VLOOKUP("2026p", tblCPI[], MATCH(INDEX(tblCPI_Map[CPI Region], MATCH($J22, tblCPI_Map[Census Division and State], 0)), tblCPI[[#Headers],[West]:[National]], 0)+1, FALSE)</f>
        <v>18.180933852140079</v>
      </c>
      <c r="O22" s="88">
        <f t="shared" si="2"/>
        <v>17.64</v>
      </c>
      <c r="P22" s="80">
        <f t="shared" si="3"/>
        <v>3.0665184361682446E-2</v>
      </c>
    </row>
    <row r="23" spans="1:16" x14ac:dyDescent="0.25">
      <c r="A23" s="60" t="s">
        <v>188</v>
      </c>
      <c r="B23" s="44">
        <v>10.66</v>
      </c>
      <c r="C23" s="44">
        <v>10.09</v>
      </c>
      <c r="D23" s="44"/>
      <c r="E23" s="88">
        <f>$B23 * VLOOKUP(2025, tblCPI[], MATCH(INDEX(tblCPI_Map[CPI Region], MATCH($A23, tblCPI_Map[Census Division and State], 0)), tblCPI[[#Headers],[West]:[National]], 0)+1, FALSE) /VLOOKUP("2026p", tblCPI[], MATCH(INDEX(tblCPI_Map[CPI Region], MATCH($A23, tblCPI_Map[Census Division and State], 0)), tblCPI[[#Headers],[West]:[National]], 0)+1, FALSE)</f>
        <v>10.36964980544747</v>
      </c>
      <c r="F23" s="61">
        <f t="shared" si="0"/>
        <v>10.09</v>
      </c>
      <c r="G23" s="80">
        <f t="shared" si="1"/>
        <v>2.7715540678639211E-2</v>
      </c>
      <c r="J23" s="60" t="s">
        <v>188</v>
      </c>
      <c r="K23" s="44">
        <v>13.57</v>
      </c>
      <c r="L23" s="44">
        <v>12.64</v>
      </c>
      <c r="M23" s="44"/>
      <c r="N23" s="88">
        <f>$K23 * VLOOKUP(2025, tblCPI[], MATCH(INDEX(tblCPI_Map[CPI Region], MATCH($J23, tblCPI_Map[Census Division and State], 0)), tblCPI[[#Headers],[West]:[National]], 0)+1, FALSE) /VLOOKUP("2026p", tblCPI[], MATCH(INDEX(tblCPI_Map[CPI Region], MATCH($J23, tblCPI_Map[Census Division and State], 0)), tblCPI[[#Headers],[West]:[National]], 0)+1, FALSE)</f>
        <v>13.200389105058365</v>
      </c>
      <c r="O23" s="88">
        <f t="shared" si="2"/>
        <v>12.64</v>
      </c>
      <c r="P23" s="80">
        <f t="shared" si="3"/>
        <v>4.4334581096389596E-2</v>
      </c>
    </row>
    <row r="24" spans="1:16" x14ac:dyDescent="0.25">
      <c r="A24" s="25" t="s">
        <v>191</v>
      </c>
      <c r="B24" s="44">
        <v>9.16</v>
      </c>
      <c r="C24" s="44">
        <v>8.7799999999999994</v>
      </c>
      <c r="D24" s="44"/>
      <c r="E24" s="88">
        <f>$B24 * VLOOKUP(2025, tblCPI[], MATCH(INDEX(tblCPI_Map[CPI Region], MATCH($A24, tblCPI_Map[Census Division and State], 0)), tblCPI[[#Headers],[West]:[National]], 0)+1, FALSE) /VLOOKUP("2026p", tblCPI[], MATCH(INDEX(tblCPI_Map[CPI Region], MATCH($A24, tblCPI_Map[Census Division and State], 0)), tblCPI[[#Headers],[West]:[National]], 0)+1, FALSE)</f>
        <v>8.910505836575874</v>
      </c>
      <c r="F24" s="61">
        <f t="shared" si="0"/>
        <v>8.7799999999999994</v>
      </c>
      <c r="G24" s="80">
        <f t="shared" si="1"/>
        <v>1.4863990498391193E-2</v>
      </c>
      <c r="J24" s="25" t="s">
        <v>191</v>
      </c>
      <c r="K24" s="44">
        <v>13.15</v>
      </c>
      <c r="L24" s="44">
        <v>12.39</v>
      </c>
      <c r="M24" s="44"/>
      <c r="N24" s="88">
        <f>$K24 * VLOOKUP(2025, tblCPI[], MATCH(INDEX(tblCPI_Map[CPI Region], MATCH($J24, tblCPI_Map[Census Division and State], 0)), tblCPI[[#Headers],[West]:[National]], 0)+1, FALSE) /VLOOKUP("2026p", tblCPI[], MATCH(INDEX(tblCPI_Map[CPI Region], MATCH($J24, tblCPI_Map[Census Division and State], 0)), tblCPI[[#Headers],[West]:[National]], 0)+1, FALSE)</f>
        <v>12.791828793774318</v>
      </c>
      <c r="O24" s="88">
        <f t="shared" si="2"/>
        <v>12.39</v>
      </c>
      <c r="P24" s="80">
        <f t="shared" si="3"/>
        <v>3.2431702483802859E-2</v>
      </c>
    </row>
    <row r="25" spans="1:16" x14ac:dyDescent="0.25">
      <c r="A25" s="25" t="s">
        <v>193</v>
      </c>
      <c r="B25" s="44">
        <v>11.71</v>
      </c>
      <c r="C25" s="44">
        <v>11.03</v>
      </c>
      <c r="D25" s="44"/>
      <c r="E25" s="88">
        <f>$B25 * VLOOKUP(2025, tblCPI[], MATCH(INDEX(tblCPI_Map[CPI Region], MATCH($A25, tblCPI_Map[Census Division and State], 0)), tblCPI[[#Headers],[West]:[National]], 0)+1, FALSE) /VLOOKUP("2026p", tblCPI[], MATCH(INDEX(tblCPI_Map[CPI Region], MATCH($A25, tblCPI_Map[Census Division and State], 0)), tblCPI[[#Headers],[West]:[National]], 0)+1, FALSE)</f>
        <v>11.391050583657588</v>
      </c>
      <c r="F25" s="61">
        <f t="shared" si="0"/>
        <v>11.03</v>
      </c>
      <c r="G25" s="80">
        <f t="shared" si="1"/>
        <v>3.2733507131241034E-2</v>
      </c>
      <c r="J25" s="25" t="s">
        <v>193</v>
      </c>
      <c r="K25" s="44">
        <v>15.03</v>
      </c>
      <c r="L25" s="44">
        <v>13.93</v>
      </c>
      <c r="M25" s="44"/>
      <c r="N25" s="88">
        <f>$K25 * VLOOKUP(2025, tblCPI[], MATCH(INDEX(tblCPI_Map[CPI Region], MATCH($J25, tblCPI_Map[Census Division and State], 0)), tblCPI[[#Headers],[West]:[National]], 0)+1, FALSE) /VLOOKUP("2026p", tblCPI[], MATCH(INDEX(tblCPI_Map[CPI Region], MATCH($J25, tblCPI_Map[Census Division and State], 0)), tblCPI[[#Headers],[West]:[National]], 0)+1, FALSE)</f>
        <v>14.620622568093383</v>
      </c>
      <c r="O25" s="88">
        <f t="shared" si="2"/>
        <v>13.93</v>
      </c>
      <c r="P25" s="80">
        <f t="shared" si="3"/>
        <v>4.9578073804262983E-2</v>
      </c>
    </row>
    <row r="26" spans="1:16" x14ac:dyDescent="0.25">
      <c r="A26" s="25" t="s">
        <v>195</v>
      </c>
      <c r="B26" s="44">
        <v>12.41</v>
      </c>
      <c r="C26" s="44">
        <v>11.98</v>
      </c>
      <c r="D26" s="44"/>
      <c r="E26" s="88">
        <f>$B26 * VLOOKUP(2025, tblCPI[], MATCH(INDEX(tblCPI_Map[CPI Region], MATCH($A26, tblCPI_Map[Census Division and State], 0)), tblCPI[[#Headers],[West]:[National]], 0)+1, FALSE) /VLOOKUP("2026p", tblCPI[], MATCH(INDEX(tblCPI_Map[CPI Region], MATCH($A26, tblCPI_Map[Census Division and State], 0)), tblCPI[[#Headers],[West]:[National]], 0)+1, FALSE)</f>
        <v>12.071984435797665</v>
      </c>
      <c r="F26" s="61">
        <f t="shared" si="0"/>
        <v>11.98</v>
      </c>
      <c r="G26" s="80">
        <f t="shared" si="1"/>
        <v>7.6781665941289389E-3</v>
      </c>
      <c r="J26" s="25" t="s">
        <v>195</v>
      </c>
      <c r="K26" s="44">
        <v>15.41</v>
      </c>
      <c r="L26" s="44">
        <v>14.79</v>
      </c>
      <c r="M26" s="44"/>
      <c r="N26" s="88">
        <f>$K26 * VLOOKUP(2025, tblCPI[], MATCH(INDEX(tblCPI_Map[CPI Region], MATCH($J26, tblCPI_Map[Census Division and State], 0)), tblCPI[[#Headers],[West]:[National]], 0)+1, FALSE) /VLOOKUP("2026p", tblCPI[], MATCH(INDEX(tblCPI_Map[CPI Region], MATCH($J26, tblCPI_Map[Census Division and State], 0)), tblCPI[[#Headers],[West]:[National]], 0)+1, FALSE)</f>
        <v>14.990272373540856</v>
      </c>
      <c r="O26" s="88">
        <f t="shared" si="2"/>
        <v>14.79</v>
      </c>
      <c r="P26" s="80">
        <f t="shared" si="3"/>
        <v>1.3541066500396007E-2</v>
      </c>
    </row>
    <row r="27" spans="1:16" x14ac:dyDescent="0.25">
      <c r="A27" s="25" t="s">
        <v>196</v>
      </c>
      <c r="B27" s="44">
        <v>10.92</v>
      </c>
      <c r="C27" s="44">
        <v>10.24</v>
      </c>
      <c r="D27" s="44"/>
      <c r="E27" s="88">
        <f>$B27 * VLOOKUP(2025, tblCPI[], MATCH(INDEX(tblCPI_Map[CPI Region], MATCH($A27, tblCPI_Map[Census Division and State], 0)), tblCPI[[#Headers],[West]:[National]], 0)+1, FALSE) /VLOOKUP("2026p", tblCPI[], MATCH(INDEX(tblCPI_Map[CPI Region], MATCH($A27, tblCPI_Map[Census Division and State], 0)), tblCPI[[#Headers],[West]:[National]], 0)+1, FALSE)</f>
        <v>10.622568093385214</v>
      </c>
      <c r="F27" s="61">
        <f t="shared" si="0"/>
        <v>10.24</v>
      </c>
      <c r="G27" s="80">
        <f t="shared" si="1"/>
        <v>3.7360165369649742E-2</v>
      </c>
      <c r="J27" s="25" t="s">
        <v>196</v>
      </c>
      <c r="K27" s="44">
        <v>12.66</v>
      </c>
      <c r="L27" s="44">
        <v>11.69</v>
      </c>
      <c r="M27" s="44"/>
      <c r="N27" s="88">
        <f>$K27 * VLOOKUP(2025, tblCPI[], MATCH(INDEX(tblCPI_Map[CPI Region], MATCH($J27, tblCPI_Map[Census Division and State], 0)), tblCPI[[#Headers],[West]:[National]], 0)+1, FALSE) /VLOOKUP("2026p", tblCPI[], MATCH(INDEX(tblCPI_Map[CPI Region], MATCH($J27, tblCPI_Map[Census Division and State], 0)), tblCPI[[#Headers],[West]:[National]], 0)+1, FALSE)</f>
        <v>12.315175097276263</v>
      </c>
      <c r="O27" s="88">
        <f t="shared" si="2"/>
        <v>11.69</v>
      </c>
      <c r="P27" s="80">
        <f t="shared" si="3"/>
        <v>5.3479477953487085E-2</v>
      </c>
    </row>
    <row r="28" spans="1:16" x14ac:dyDescent="0.25">
      <c r="A28" s="25" t="s">
        <v>199</v>
      </c>
      <c r="B28" s="44">
        <v>9.56</v>
      </c>
      <c r="C28" s="44">
        <v>9.06</v>
      </c>
      <c r="D28" s="44"/>
      <c r="E28" s="88">
        <f>$B28 * VLOOKUP(2025, tblCPI[], MATCH(INDEX(tblCPI_Map[CPI Region], MATCH($A28, tblCPI_Map[Census Division and State], 0)), tblCPI[[#Headers],[West]:[National]], 0)+1, FALSE) /VLOOKUP("2026p", tblCPI[], MATCH(INDEX(tblCPI_Map[CPI Region], MATCH($A28, tblCPI_Map[Census Division and State], 0)), tblCPI[[#Headers],[West]:[National]], 0)+1, FALSE)</f>
        <v>9.2996108949416332</v>
      </c>
      <c r="F28" s="61">
        <f t="shared" si="0"/>
        <v>9.06</v>
      </c>
      <c r="G28" s="80">
        <f t="shared" si="1"/>
        <v>2.6447118646979323E-2</v>
      </c>
      <c r="J28" s="25" t="s">
        <v>199</v>
      </c>
      <c r="K28" s="44">
        <v>12.38</v>
      </c>
      <c r="L28" s="44">
        <v>11.33</v>
      </c>
      <c r="M28" s="44"/>
      <c r="N28" s="88">
        <f>$K28 * VLOOKUP(2025, tblCPI[], MATCH(INDEX(tblCPI_Map[CPI Region], MATCH($J28, tblCPI_Map[Census Division and State], 0)), tblCPI[[#Headers],[West]:[National]], 0)+1, FALSE) /VLOOKUP("2026p", tblCPI[], MATCH(INDEX(tblCPI_Map[CPI Region], MATCH($J28, tblCPI_Map[Census Division and State], 0)), tblCPI[[#Headers],[West]:[National]], 0)+1, FALSE)</f>
        <v>12.042801556420233</v>
      </c>
      <c r="O28" s="88">
        <f t="shared" si="2"/>
        <v>11.33</v>
      </c>
      <c r="P28" s="80">
        <f t="shared" si="3"/>
        <v>6.2912758730823762E-2</v>
      </c>
    </row>
    <row r="29" spans="1:16" x14ac:dyDescent="0.25">
      <c r="A29" s="25" t="s">
        <v>201</v>
      </c>
      <c r="B29" s="44">
        <v>8.57</v>
      </c>
      <c r="C29" s="44">
        <v>7.94</v>
      </c>
      <c r="D29" s="44"/>
      <c r="E29" s="88">
        <f>$B29 * VLOOKUP(2025, tblCPI[], MATCH(INDEX(tblCPI_Map[CPI Region], MATCH($A29, tblCPI_Map[Census Division and State], 0)), tblCPI[[#Headers],[West]:[National]], 0)+1, FALSE) /VLOOKUP("2026p", tblCPI[], MATCH(INDEX(tblCPI_Map[CPI Region], MATCH($A29, tblCPI_Map[Census Division and State], 0)), tblCPI[[#Headers],[West]:[National]], 0)+1, FALSE)</f>
        <v>8.3365758754863819</v>
      </c>
      <c r="F29" s="61">
        <f t="shared" si="0"/>
        <v>7.94</v>
      </c>
      <c r="G29" s="80">
        <f t="shared" si="1"/>
        <v>4.9946583814405733E-2</v>
      </c>
      <c r="J29" s="25" t="s">
        <v>201</v>
      </c>
      <c r="K29" s="44">
        <v>11.63</v>
      </c>
      <c r="L29" s="44">
        <v>10.59</v>
      </c>
      <c r="M29" s="44"/>
      <c r="N29" s="88">
        <f>$K29 * VLOOKUP(2025, tblCPI[], MATCH(INDEX(tblCPI_Map[CPI Region], MATCH($J29, tblCPI_Map[Census Division and State], 0)), tblCPI[[#Headers],[West]:[National]], 0)+1, FALSE) /VLOOKUP("2026p", tblCPI[], MATCH(INDEX(tblCPI_Map[CPI Region], MATCH($J29, tblCPI_Map[Census Division and State], 0)), tblCPI[[#Headers],[West]:[National]], 0)+1, FALSE)</f>
        <v>11.313229571984436</v>
      </c>
      <c r="O29" s="88">
        <f t="shared" si="2"/>
        <v>10.59</v>
      </c>
      <c r="P29" s="80">
        <f t="shared" si="3"/>
        <v>6.8293632859720177E-2</v>
      </c>
    </row>
    <row r="30" spans="1:16" x14ac:dyDescent="0.25">
      <c r="A30" s="25" t="s">
        <v>203</v>
      </c>
      <c r="B30" s="44">
        <v>11.97</v>
      </c>
      <c r="C30" s="44">
        <v>10.86</v>
      </c>
      <c r="D30" s="44"/>
      <c r="E30" s="88">
        <f>$B30 * VLOOKUP(2025, tblCPI[], MATCH(INDEX(tblCPI_Map[CPI Region], MATCH($A30, tblCPI_Map[Census Division and State], 0)), tblCPI[[#Headers],[West]:[National]], 0)+1, FALSE) /VLOOKUP("2026p", tblCPI[], MATCH(INDEX(tblCPI_Map[CPI Region], MATCH($A30, tblCPI_Map[Census Division and State], 0)), tblCPI[[#Headers],[West]:[National]], 0)+1, FALSE)</f>
        <v>11.64396887159533</v>
      </c>
      <c r="F30" s="61">
        <f t="shared" si="0"/>
        <v>10.86</v>
      </c>
      <c r="G30" s="80">
        <f t="shared" si="1"/>
        <v>7.2188662209514809E-2</v>
      </c>
      <c r="J30" s="25" t="s">
        <v>203</v>
      </c>
      <c r="K30" s="44">
        <v>13.86</v>
      </c>
      <c r="L30" s="44">
        <v>12.41</v>
      </c>
      <c r="M30" s="44"/>
      <c r="N30" s="88">
        <f>$K30 * VLOOKUP(2025, tblCPI[], MATCH(INDEX(tblCPI_Map[CPI Region], MATCH($J30, tblCPI_Map[Census Division and State], 0)), tblCPI[[#Headers],[West]:[National]], 0)+1, FALSE) /VLOOKUP("2026p", tblCPI[], MATCH(INDEX(tblCPI_Map[CPI Region], MATCH($J30, tblCPI_Map[Census Division and State], 0)), tblCPI[[#Headers],[West]:[National]], 0)+1, FALSE)</f>
        <v>13.482490272373539</v>
      </c>
      <c r="O30" s="88">
        <f t="shared" si="2"/>
        <v>12.41</v>
      </c>
      <c r="P30" s="80">
        <f t="shared" si="3"/>
        <v>8.6421456275063577E-2</v>
      </c>
    </row>
    <row r="31" spans="1:16" x14ac:dyDescent="0.25">
      <c r="A31" s="60" t="s">
        <v>204</v>
      </c>
      <c r="B31" s="44">
        <v>13.34</v>
      </c>
      <c r="C31" s="44">
        <v>12.3</v>
      </c>
      <c r="D31" s="44"/>
      <c r="E31" s="88">
        <f>$B31 * VLOOKUP(2025, tblCPI[], MATCH(INDEX(tblCPI_Map[CPI Region], MATCH($A31, tblCPI_Map[Census Division and State], 0)), tblCPI[[#Headers],[West]:[National]], 0)+1, FALSE) /VLOOKUP("2026p", tblCPI[], MATCH(INDEX(tblCPI_Map[CPI Region], MATCH($A31, tblCPI_Map[Census Division and State], 0)), tblCPI[[#Headers],[West]:[National]], 0)+1, FALSE)</f>
        <v>12.976653696498055</v>
      </c>
      <c r="F31" s="61">
        <f t="shared" si="0"/>
        <v>12.3</v>
      </c>
      <c r="G31" s="80">
        <f t="shared" si="1"/>
        <v>5.501249565024828E-2</v>
      </c>
      <c r="J31" s="60" t="s">
        <v>204</v>
      </c>
      <c r="K31" s="44">
        <v>15.96</v>
      </c>
      <c r="L31" s="44">
        <v>14.85</v>
      </c>
      <c r="M31" s="44"/>
      <c r="N31" s="88">
        <f>$K31 * VLOOKUP(2025, tblCPI[], MATCH(INDEX(tblCPI_Map[CPI Region], MATCH($J31, tblCPI_Map[Census Division and State], 0)), tblCPI[[#Headers],[West]:[National]], 0)+1, FALSE) /VLOOKUP("2026p", tblCPI[], MATCH(INDEX(tblCPI_Map[CPI Region], MATCH($J31, tblCPI_Map[Census Division and State], 0)), tblCPI[[#Headers],[West]:[National]], 0)+1, FALSE)</f>
        <v>15.525291828793772</v>
      </c>
      <c r="O31" s="88">
        <f t="shared" si="2"/>
        <v>14.85</v>
      </c>
      <c r="P31" s="80">
        <f t="shared" si="3"/>
        <v>4.5474197225169891E-2</v>
      </c>
    </row>
    <row r="32" spans="1:16" x14ac:dyDescent="0.25">
      <c r="A32" s="25" t="s">
        <v>207</v>
      </c>
      <c r="B32" s="44">
        <v>15.21</v>
      </c>
      <c r="C32" s="44">
        <v>14.01</v>
      </c>
      <c r="D32" s="44"/>
      <c r="E32" s="88">
        <f>$B32 * VLOOKUP(2025, tblCPI[], MATCH(INDEX(tblCPI_Map[CPI Region], MATCH($A32, tblCPI_Map[Census Division and State], 0)), tblCPI[[#Headers],[West]:[National]], 0)+1, FALSE) /VLOOKUP("2026p", tblCPI[], MATCH(INDEX(tblCPI_Map[CPI Region], MATCH($A32, tblCPI_Map[Census Division and State], 0)), tblCPI[[#Headers],[West]:[National]], 0)+1, FALSE)</f>
        <v>14.795719844357977</v>
      </c>
      <c r="F32" s="61">
        <f t="shared" si="0"/>
        <v>14.01</v>
      </c>
      <c r="G32" s="80">
        <f t="shared" si="1"/>
        <v>5.6082786892075492E-2</v>
      </c>
      <c r="J32" s="25" t="s">
        <v>207</v>
      </c>
      <c r="K32" s="44">
        <v>17.11</v>
      </c>
      <c r="L32" s="44">
        <v>16.28</v>
      </c>
      <c r="M32" s="44"/>
      <c r="N32" s="88">
        <f>$K32 * VLOOKUP(2025, tblCPI[], MATCH(INDEX(tblCPI_Map[CPI Region], MATCH($J32, tblCPI_Map[Census Division and State], 0)), tblCPI[[#Headers],[West]:[National]], 0)+1, FALSE) /VLOOKUP("2026p", tblCPI[], MATCH(INDEX(tblCPI_Map[CPI Region], MATCH($J32, tblCPI_Map[Census Division and State], 0)), tblCPI[[#Headers],[West]:[National]], 0)+1, FALSE)</f>
        <v>16.64396887159533</v>
      </c>
      <c r="O32" s="88">
        <f t="shared" si="2"/>
        <v>16.28</v>
      </c>
      <c r="P32" s="80">
        <f t="shared" si="3"/>
        <v>2.2356810294553383E-2</v>
      </c>
    </row>
    <row r="33" spans="1:16" x14ac:dyDescent="0.25">
      <c r="A33" s="25" t="s">
        <v>208</v>
      </c>
      <c r="B33" s="44">
        <v>23.51</v>
      </c>
      <c r="C33" s="44">
        <v>19.309999999999999</v>
      </c>
      <c r="D33" s="44"/>
      <c r="E33" s="88">
        <f>$B33 * VLOOKUP(2025, tblCPI[], MATCH(INDEX(tblCPI_Map[CPI Region], MATCH($A33, tblCPI_Map[Census Division and State], 0)), tblCPI[[#Headers],[West]:[National]], 0)+1, FALSE) /VLOOKUP("2026p", tblCPI[], MATCH(INDEX(tblCPI_Map[CPI Region], MATCH($A33, tblCPI_Map[Census Division and State], 0)), tblCPI[[#Headers],[West]:[National]], 0)+1, FALSE)</f>
        <v>22.86964980544747</v>
      </c>
      <c r="F33" s="61">
        <f t="shared" si="0"/>
        <v>19.309999999999999</v>
      </c>
      <c r="G33" s="80">
        <f t="shared" si="1"/>
        <v>0.18434229960887991</v>
      </c>
      <c r="J33" s="25" t="s">
        <v>208</v>
      </c>
      <c r="K33" s="44">
        <v>24.41</v>
      </c>
      <c r="L33" s="44">
        <v>19.899999999999999</v>
      </c>
      <c r="M33" s="44"/>
      <c r="N33" s="88">
        <f>$K33 * VLOOKUP(2025, tblCPI[], MATCH(INDEX(tblCPI_Map[CPI Region], MATCH($J33, tblCPI_Map[Census Division and State], 0)), tblCPI[[#Headers],[West]:[National]], 0)+1, FALSE) /VLOOKUP("2026p", tblCPI[], MATCH(INDEX(tblCPI_Map[CPI Region], MATCH($J33, tblCPI_Map[Census Division and State], 0)), tblCPI[[#Headers],[West]:[National]], 0)+1, FALSE)</f>
        <v>23.745136186770424</v>
      </c>
      <c r="O33" s="88">
        <f t="shared" si="2"/>
        <v>19.899999999999999</v>
      </c>
      <c r="P33" s="80">
        <f t="shared" si="3"/>
        <v>0.19322292395831284</v>
      </c>
    </row>
    <row r="34" spans="1:16" x14ac:dyDescent="0.25">
      <c r="A34" s="25" t="s">
        <v>209</v>
      </c>
      <c r="B34" s="44">
        <v>13.71</v>
      </c>
      <c r="C34" s="44">
        <v>13.11</v>
      </c>
      <c r="D34" s="44"/>
      <c r="E34" s="88">
        <f>$B34 * VLOOKUP(2025, tblCPI[], MATCH(INDEX(tblCPI_Map[CPI Region], MATCH($A34, tblCPI_Map[Census Division and State], 0)), tblCPI[[#Headers],[West]:[National]], 0)+1, FALSE) /VLOOKUP("2026p", tblCPI[], MATCH(INDEX(tblCPI_Map[CPI Region], MATCH($A34, tblCPI_Map[Census Division and State], 0)), tblCPI[[#Headers],[West]:[National]], 0)+1, FALSE)</f>
        <v>13.336575875486382</v>
      </c>
      <c r="F34" s="61">
        <f t="shared" si="0"/>
        <v>13.11</v>
      </c>
      <c r="G34" s="80">
        <f t="shared" si="1"/>
        <v>1.7282675475696604E-2</v>
      </c>
      <c r="J34" s="25" t="s">
        <v>209</v>
      </c>
      <c r="K34" s="44">
        <v>15.51</v>
      </c>
      <c r="L34" s="44">
        <v>14.92</v>
      </c>
      <c r="M34" s="44"/>
      <c r="N34" s="88">
        <f>$K34 * VLOOKUP(2025, tblCPI[], MATCH(INDEX(tblCPI_Map[CPI Region], MATCH($J34, tblCPI_Map[Census Division and State], 0)), tblCPI[[#Headers],[West]:[National]], 0)+1, FALSE) /VLOOKUP("2026p", tblCPI[], MATCH(INDEX(tblCPI_Map[CPI Region], MATCH($J34, tblCPI_Map[Census Division and State], 0)), tblCPI[[#Headers],[West]:[National]], 0)+1, FALSE)</f>
        <v>15.087548638132294</v>
      </c>
      <c r="O34" s="88">
        <f t="shared" si="2"/>
        <v>14.92</v>
      </c>
      <c r="P34" s="80">
        <f t="shared" si="3"/>
        <v>1.1229801483397701E-2</v>
      </c>
    </row>
    <row r="35" spans="1:16" x14ac:dyDescent="0.25">
      <c r="A35" s="25" t="s">
        <v>210</v>
      </c>
      <c r="B35" s="44">
        <v>11.91</v>
      </c>
      <c r="C35" s="44">
        <v>11.66</v>
      </c>
      <c r="D35" s="44"/>
      <c r="E35" s="88">
        <f>$B35 * VLOOKUP(2025, tblCPI[], MATCH(INDEX(tblCPI_Map[CPI Region], MATCH($A35, tblCPI_Map[Census Division and State], 0)), tblCPI[[#Headers],[West]:[National]], 0)+1, FALSE) /VLOOKUP("2026p", tblCPI[], MATCH(INDEX(tblCPI_Map[CPI Region], MATCH($A35, tblCPI_Map[Census Division and State], 0)), tblCPI[[#Headers],[West]:[National]], 0)+1, FALSE)</f>
        <v>11.585603112840465</v>
      </c>
      <c r="F35" s="61">
        <f t="shared" si="0"/>
        <v>11.66</v>
      </c>
      <c r="G35" s="80">
        <f t="shared" si="1"/>
        <v>-6.380522054848653E-3</v>
      </c>
      <c r="J35" s="25" t="s">
        <v>210</v>
      </c>
      <c r="K35" s="44">
        <v>14.67</v>
      </c>
      <c r="L35" s="44">
        <v>14.03</v>
      </c>
      <c r="M35" s="44"/>
      <c r="N35" s="88">
        <f>$K35 * VLOOKUP(2025, tblCPI[], MATCH(INDEX(tblCPI_Map[CPI Region], MATCH($J35, tblCPI_Map[Census Division and State], 0)), tblCPI[[#Headers],[West]:[National]], 0)+1, FALSE) /VLOOKUP("2026p", tblCPI[], MATCH(INDEX(tblCPI_Map[CPI Region], MATCH($J35, tblCPI_Map[Census Division and State], 0)), tblCPI[[#Headers],[West]:[National]], 0)+1, FALSE)</f>
        <v>14.270428015564201</v>
      </c>
      <c r="O35" s="88">
        <f t="shared" si="2"/>
        <v>14.03</v>
      </c>
      <c r="P35" s="80">
        <f t="shared" si="3"/>
        <v>1.7136708165659445E-2</v>
      </c>
    </row>
    <row r="36" spans="1:16" x14ac:dyDescent="0.25">
      <c r="A36" s="25" t="s">
        <v>211</v>
      </c>
      <c r="B36" s="44">
        <v>19.14</v>
      </c>
      <c r="C36" s="44">
        <v>16.149999999999999</v>
      </c>
      <c r="D36" s="44"/>
      <c r="E36" s="88">
        <f>$B36 * VLOOKUP(2025, tblCPI[], MATCH(INDEX(tblCPI_Map[CPI Region], MATCH($A36, tblCPI_Map[Census Division and State], 0)), tblCPI[[#Headers],[West]:[National]], 0)+1, FALSE) /VLOOKUP("2026p", tblCPI[], MATCH(INDEX(tblCPI_Map[CPI Region], MATCH($A36, tblCPI_Map[Census Division and State], 0)), tblCPI[[#Headers],[West]:[National]], 0)+1, FALSE)</f>
        <v>18.618677042801554</v>
      </c>
      <c r="F36" s="61">
        <f t="shared" si="0"/>
        <v>16.149999999999999</v>
      </c>
      <c r="G36" s="80">
        <f t="shared" si="1"/>
        <v>0.1528592596161954</v>
      </c>
      <c r="J36" s="25" t="s">
        <v>211</v>
      </c>
      <c r="K36" s="44">
        <v>21.05</v>
      </c>
      <c r="L36" s="44">
        <v>18.54</v>
      </c>
      <c r="M36" s="44"/>
      <c r="N36" s="88">
        <f>$K36 * VLOOKUP(2025, tblCPI[], MATCH(INDEX(tblCPI_Map[CPI Region], MATCH($J36, tblCPI_Map[Census Division and State], 0)), tblCPI[[#Headers],[West]:[National]], 0)+1, FALSE) /VLOOKUP("2026p", tblCPI[], MATCH(INDEX(tblCPI_Map[CPI Region], MATCH($J36, tblCPI_Map[Census Division and State], 0)), tblCPI[[#Headers],[West]:[National]], 0)+1, FALSE)</f>
        <v>20.476653696498055</v>
      </c>
      <c r="O36" s="88">
        <f t="shared" si="2"/>
        <v>18.54</v>
      </c>
      <c r="P36" s="80">
        <f t="shared" si="3"/>
        <v>0.10445812818220364</v>
      </c>
    </row>
    <row r="37" spans="1:16" x14ac:dyDescent="0.25">
      <c r="A37" s="25" t="s">
        <v>212</v>
      </c>
      <c r="B37" s="44">
        <v>12.14</v>
      </c>
      <c r="C37" s="44">
        <v>11.55</v>
      </c>
      <c r="D37" s="44"/>
      <c r="E37" s="88">
        <f>$B37 * VLOOKUP(2025, tblCPI[], MATCH(INDEX(tblCPI_Map[CPI Region], MATCH($A37, tblCPI_Map[Census Division and State], 0)), tblCPI[[#Headers],[West]:[National]], 0)+1, FALSE) /VLOOKUP("2026p", tblCPI[], MATCH(INDEX(tblCPI_Map[CPI Region], MATCH($A37, tblCPI_Map[Census Division and State], 0)), tblCPI[[#Headers],[West]:[National]], 0)+1, FALSE)</f>
        <v>11.809338521400777</v>
      </c>
      <c r="F37" s="61">
        <f t="shared" si="0"/>
        <v>11.55</v>
      </c>
      <c r="G37" s="80">
        <f t="shared" si="1"/>
        <v>2.2453551636430855E-2</v>
      </c>
      <c r="J37" s="25" t="s">
        <v>212</v>
      </c>
      <c r="K37" s="44">
        <v>14.9</v>
      </c>
      <c r="L37" s="44">
        <v>13.78</v>
      </c>
      <c r="M37" s="44"/>
      <c r="N37" s="88">
        <f>$K37 * VLOOKUP(2025, tblCPI[], MATCH(INDEX(tblCPI_Map[CPI Region], MATCH($J37, tblCPI_Map[Census Division and State], 0)), tblCPI[[#Headers],[West]:[National]], 0)+1, FALSE) /VLOOKUP("2026p", tblCPI[], MATCH(INDEX(tblCPI_Map[CPI Region], MATCH($J37, tblCPI_Map[Census Division and State], 0)), tblCPI[[#Headers],[West]:[National]], 0)+1, FALSE)</f>
        <v>14.494163424124514</v>
      </c>
      <c r="O37" s="88">
        <f t="shared" si="2"/>
        <v>13.78</v>
      </c>
      <c r="P37" s="80">
        <f t="shared" si="3"/>
        <v>5.1826083027903799E-2</v>
      </c>
    </row>
    <row r="38" spans="1:16" x14ac:dyDescent="0.25">
      <c r="A38" s="25" t="s">
        <v>213</v>
      </c>
      <c r="B38" s="44">
        <v>12.53</v>
      </c>
      <c r="C38" s="44">
        <v>11.3</v>
      </c>
      <c r="D38" s="44"/>
      <c r="E38" s="88">
        <f>$B38 * VLOOKUP(2025, tblCPI[], MATCH(INDEX(tblCPI_Map[CPI Region], MATCH($A38, tblCPI_Map[Census Division and State], 0)), tblCPI[[#Headers],[West]:[National]], 0)+1, FALSE) /VLOOKUP("2026p", tblCPI[], MATCH(INDEX(tblCPI_Map[CPI Region], MATCH($A38, tblCPI_Map[Census Division and State], 0)), tblCPI[[#Headers],[West]:[National]], 0)+1, FALSE)</f>
        <v>12.188715953307391</v>
      </c>
      <c r="F38" s="61">
        <f t="shared" si="0"/>
        <v>11.3</v>
      </c>
      <c r="G38" s="80">
        <f t="shared" si="1"/>
        <v>7.8647429496229188E-2</v>
      </c>
      <c r="J38" s="25" t="s">
        <v>213</v>
      </c>
      <c r="K38" s="44">
        <v>16.149999999999999</v>
      </c>
      <c r="L38" s="44">
        <v>14.7</v>
      </c>
      <c r="M38" s="44"/>
      <c r="N38" s="88">
        <f>$K38 * VLOOKUP(2025, tblCPI[], MATCH(INDEX(tblCPI_Map[CPI Region], MATCH($J38, tblCPI_Map[Census Division and State], 0)), tblCPI[[#Headers],[West]:[National]], 0)+1, FALSE) /VLOOKUP("2026p", tblCPI[], MATCH(INDEX(tblCPI_Map[CPI Region], MATCH($J38, tblCPI_Map[Census Division and State], 0)), tblCPI[[#Headers],[West]:[National]], 0)+1, FALSE)</f>
        <v>15.710116731517507</v>
      </c>
      <c r="O38" s="88">
        <f t="shared" si="2"/>
        <v>14.7</v>
      </c>
      <c r="P38" s="80">
        <f t="shared" si="3"/>
        <v>6.8715423912755647E-2</v>
      </c>
    </row>
    <row r="39" spans="1:16" x14ac:dyDescent="0.25">
      <c r="A39" s="25" t="s">
        <v>214</v>
      </c>
      <c r="B39" s="44">
        <v>12.9</v>
      </c>
      <c r="C39" s="44">
        <v>10.9</v>
      </c>
      <c r="D39" s="44"/>
      <c r="E39" s="88">
        <f>$B39 * VLOOKUP(2025, tblCPI[], MATCH(INDEX(tblCPI_Map[CPI Region], MATCH($A39, tblCPI_Map[Census Division and State], 0)), tblCPI[[#Headers],[West]:[National]], 0)+1, FALSE) /VLOOKUP("2026p", tblCPI[], MATCH(INDEX(tblCPI_Map[CPI Region], MATCH($A39, tblCPI_Map[Census Division and State], 0)), tblCPI[[#Headers],[West]:[National]], 0)+1, FALSE)</f>
        <v>12.548638132295718</v>
      </c>
      <c r="F39" s="61">
        <f t="shared" si="0"/>
        <v>10.9</v>
      </c>
      <c r="G39" s="80">
        <f t="shared" si="1"/>
        <v>0.15125120479777224</v>
      </c>
      <c r="J39" s="25" t="s">
        <v>214</v>
      </c>
      <c r="K39" s="44">
        <v>16.39</v>
      </c>
      <c r="L39" s="44">
        <v>14.44</v>
      </c>
      <c r="M39" s="44"/>
      <c r="N39" s="88">
        <f>$K39 * VLOOKUP(2025, tblCPI[], MATCH(INDEX(tblCPI_Map[CPI Region], MATCH($J39, tblCPI_Map[Census Division and State], 0)), tblCPI[[#Headers],[West]:[National]], 0)+1, FALSE) /VLOOKUP("2026p", tblCPI[], MATCH(INDEX(tblCPI_Map[CPI Region], MATCH($J39, tblCPI_Map[Census Division and State], 0)), tblCPI[[#Headers],[West]:[National]], 0)+1, FALSE)</f>
        <v>15.943579766536963</v>
      </c>
      <c r="O39" s="88">
        <f t="shared" si="2"/>
        <v>14.44</v>
      </c>
      <c r="P39" s="80">
        <f t="shared" si="3"/>
        <v>0.10412602261336315</v>
      </c>
    </row>
    <row r="40" spans="1:16" x14ac:dyDescent="0.25">
      <c r="A40" s="25" t="s">
        <v>215</v>
      </c>
      <c r="B40" s="44">
        <v>11.61</v>
      </c>
      <c r="C40" s="44">
        <v>11.47</v>
      </c>
      <c r="D40" s="44"/>
      <c r="E40" s="88">
        <f>$B40 * VLOOKUP(2025, tblCPI[], MATCH(INDEX(tblCPI_Map[CPI Region], MATCH($A40, tblCPI_Map[Census Division and State], 0)), tblCPI[[#Headers],[West]:[National]], 0)+1, FALSE) /VLOOKUP("2026p", tblCPI[], MATCH(INDEX(tblCPI_Map[CPI Region], MATCH($A40, tblCPI_Map[Census Division and State], 0)), tblCPI[[#Headers],[West]:[National]], 0)+1, FALSE)</f>
        <v>11.293774319066147</v>
      </c>
      <c r="F40" s="61">
        <f t="shared" si="0"/>
        <v>11.47</v>
      </c>
      <c r="G40" s="80">
        <f t="shared" si="1"/>
        <v>-1.5364052391791963E-2</v>
      </c>
      <c r="J40" s="25" t="s">
        <v>215</v>
      </c>
      <c r="K40" s="44">
        <v>15.2</v>
      </c>
      <c r="L40" s="44">
        <v>15.12</v>
      </c>
      <c r="M40" s="44"/>
      <c r="N40" s="88">
        <f>$K40 * VLOOKUP(2025, tblCPI[], MATCH(INDEX(tblCPI_Map[CPI Region], MATCH($J40, tblCPI_Map[Census Division and State], 0)), tblCPI[[#Headers],[West]:[National]], 0)+1, FALSE) /VLOOKUP("2026p", tblCPI[], MATCH(INDEX(tblCPI_Map[CPI Region], MATCH($J40, tblCPI_Map[Census Division and State], 0)), tblCPI[[#Headers],[West]:[National]], 0)+1, FALSE)</f>
        <v>14.785992217898832</v>
      </c>
      <c r="O40" s="88">
        <f t="shared" si="2"/>
        <v>15.12</v>
      </c>
      <c r="P40" s="80">
        <f t="shared" si="3"/>
        <v>-2.2090461779177749E-2</v>
      </c>
    </row>
    <row r="41" spans="1:16" x14ac:dyDescent="0.25">
      <c r="A41" s="60" t="s">
        <v>216</v>
      </c>
      <c r="B41" s="44">
        <v>12.17</v>
      </c>
      <c r="C41" s="44">
        <v>11.52</v>
      </c>
      <c r="D41" s="44"/>
      <c r="E41" s="88">
        <f>$B41 * VLOOKUP(2025, tblCPI[], MATCH(INDEX(tblCPI_Map[CPI Region], MATCH($A41, tblCPI_Map[Census Division and State], 0)), tblCPI[[#Headers],[West]:[National]], 0)+1, FALSE) /VLOOKUP("2026p", tblCPI[], MATCH(INDEX(tblCPI_Map[CPI Region], MATCH($A41, tblCPI_Map[Census Division and State], 0)), tblCPI[[#Headers],[West]:[National]], 0)+1, FALSE)</f>
        <v>11.838521400778209</v>
      </c>
      <c r="F41" s="61">
        <f t="shared" si="0"/>
        <v>11.52</v>
      </c>
      <c r="G41" s="80">
        <f t="shared" si="1"/>
        <v>2.7649427150886228E-2</v>
      </c>
      <c r="J41" s="60" t="s">
        <v>216</v>
      </c>
      <c r="K41" s="44">
        <v>14.82</v>
      </c>
      <c r="L41" s="44">
        <v>13.85</v>
      </c>
      <c r="M41" s="44"/>
      <c r="N41" s="88">
        <f>$K41 * VLOOKUP(2025, tblCPI[], MATCH(INDEX(tblCPI_Map[CPI Region], MATCH($J41, tblCPI_Map[Census Division and State], 0)), tblCPI[[#Headers],[West]:[National]], 0)+1, FALSE) /VLOOKUP("2026p", tblCPI[], MATCH(INDEX(tblCPI_Map[CPI Region], MATCH($J41, tblCPI_Map[Census Division and State], 0)), tblCPI[[#Headers],[West]:[National]], 0)+1, FALSE)</f>
        <v>14.41634241245136</v>
      </c>
      <c r="O41" s="88">
        <f t="shared" si="2"/>
        <v>13.85</v>
      </c>
      <c r="P41" s="80">
        <f t="shared" si="3"/>
        <v>4.0891148913455654E-2</v>
      </c>
    </row>
    <row r="42" spans="1:16" x14ac:dyDescent="0.25">
      <c r="A42" s="25" t="s">
        <v>217</v>
      </c>
      <c r="B42" s="44">
        <v>12.79</v>
      </c>
      <c r="C42" s="44">
        <v>12.48</v>
      </c>
      <c r="D42" s="44"/>
      <c r="E42" s="88">
        <f>$B42 * VLOOKUP(2025, tblCPI[], MATCH(INDEX(tblCPI_Map[CPI Region], MATCH($A42, tblCPI_Map[Census Division and State], 0)), tblCPI[[#Headers],[West]:[National]], 0)+1, FALSE) /VLOOKUP("2026p", tblCPI[], MATCH(INDEX(tblCPI_Map[CPI Region], MATCH($A42, tblCPI_Map[Census Division and State], 0)), tblCPI[[#Headers],[West]:[National]], 0)+1, FALSE)</f>
        <v>12.441634241245135</v>
      </c>
      <c r="F42" s="61">
        <f t="shared" si="0"/>
        <v>12.48</v>
      </c>
      <c r="G42" s="80">
        <f t="shared" si="1"/>
        <v>-3.0741793874091193E-3</v>
      </c>
      <c r="J42" s="25" t="s">
        <v>217</v>
      </c>
      <c r="K42" s="44">
        <v>16.59</v>
      </c>
      <c r="L42" s="44">
        <v>15.92</v>
      </c>
      <c r="M42" s="44"/>
      <c r="N42" s="88">
        <f>$K42 * VLOOKUP(2025, tblCPI[], MATCH(INDEX(tblCPI_Map[CPI Region], MATCH($J42, tblCPI_Map[Census Division and State], 0)), tblCPI[[#Headers],[West]:[National]], 0)+1, FALSE) /VLOOKUP("2026p", tblCPI[], MATCH(INDEX(tblCPI_Map[CPI Region], MATCH($J42, tblCPI_Map[Census Division and State], 0)), tblCPI[[#Headers],[West]:[National]], 0)+1, FALSE)</f>
        <v>16.138132295719842</v>
      </c>
      <c r="O42" s="88">
        <f t="shared" si="2"/>
        <v>15.92</v>
      </c>
      <c r="P42" s="80">
        <f t="shared" si="3"/>
        <v>1.370177736933682E-2</v>
      </c>
    </row>
    <row r="43" spans="1:16" x14ac:dyDescent="0.25">
      <c r="A43" s="25" t="s">
        <v>218</v>
      </c>
      <c r="B43" s="44">
        <v>11.54</v>
      </c>
      <c r="C43" s="44">
        <v>10.46</v>
      </c>
      <c r="D43" s="44"/>
      <c r="E43" s="88">
        <f>$B43 * VLOOKUP(2025, tblCPI[], MATCH(INDEX(tblCPI_Map[CPI Region], MATCH($A43, tblCPI_Map[Census Division and State], 0)), tblCPI[[#Headers],[West]:[National]], 0)+1, FALSE) /VLOOKUP("2026p", tblCPI[], MATCH(INDEX(tblCPI_Map[CPI Region], MATCH($A43, tblCPI_Map[Census Division and State], 0)), tblCPI[[#Headers],[West]:[National]], 0)+1, FALSE)</f>
        <v>11.225680933852139</v>
      </c>
      <c r="F43" s="61">
        <f t="shared" si="0"/>
        <v>10.46</v>
      </c>
      <c r="G43" s="80">
        <f t="shared" si="1"/>
        <v>7.3200854096762746E-2</v>
      </c>
      <c r="J43" s="25" t="s">
        <v>218</v>
      </c>
      <c r="K43" s="44">
        <v>14.28</v>
      </c>
      <c r="L43" s="44">
        <v>12.93</v>
      </c>
      <c r="M43" s="44"/>
      <c r="N43" s="88">
        <f>$K43 * VLOOKUP(2025, tblCPI[], MATCH(INDEX(tblCPI_Map[CPI Region], MATCH($J43, tblCPI_Map[Census Division and State], 0)), tblCPI[[#Headers],[West]:[National]], 0)+1, FALSE) /VLOOKUP("2026p", tblCPI[], MATCH(INDEX(tblCPI_Map[CPI Region], MATCH($J43, tblCPI_Map[Census Division and State], 0)), tblCPI[[#Headers],[West]:[National]], 0)+1, FALSE)</f>
        <v>13.891050583657584</v>
      </c>
      <c r="O43" s="88">
        <f t="shared" si="2"/>
        <v>12.93</v>
      </c>
      <c r="P43" s="80">
        <f t="shared" si="3"/>
        <v>7.4327191311491472E-2</v>
      </c>
    </row>
    <row r="44" spans="1:16" x14ac:dyDescent="0.25">
      <c r="A44" s="25" t="s">
        <v>219</v>
      </c>
      <c r="B44" s="44">
        <v>12.26</v>
      </c>
      <c r="C44" s="44">
        <v>11.35</v>
      </c>
      <c r="D44" s="44"/>
      <c r="E44" s="88">
        <f>$B44 * VLOOKUP(2025, tblCPI[], MATCH(INDEX(tblCPI_Map[CPI Region], MATCH($A44, tblCPI_Map[Census Division and State], 0)), tblCPI[[#Headers],[West]:[National]], 0)+1, FALSE) /VLOOKUP("2026p", tblCPI[], MATCH(INDEX(tblCPI_Map[CPI Region], MATCH($A44, tblCPI_Map[Census Division and State], 0)), tblCPI[[#Headers],[West]:[National]], 0)+1, FALSE)</f>
        <v>11.926070038910504</v>
      </c>
      <c r="F44" s="61">
        <f t="shared" si="0"/>
        <v>11.35</v>
      </c>
      <c r="G44" s="80">
        <f t="shared" si="1"/>
        <v>5.0755069507533453E-2</v>
      </c>
      <c r="J44" s="25" t="s">
        <v>219</v>
      </c>
      <c r="K44" s="44">
        <v>15.32</v>
      </c>
      <c r="L44" s="44">
        <v>13.79</v>
      </c>
      <c r="M44" s="44"/>
      <c r="N44" s="88">
        <f>$K44 * VLOOKUP(2025, tblCPI[], MATCH(INDEX(tblCPI_Map[CPI Region], MATCH($J44, tblCPI_Map[Census Division and State], 0)), tblCPI[[#Headers],[West]:[National]], 0)+1, FALSE) /VLOOKUP("2026p", tblCPI[], MATCH(INDEX(tblCPI_Map[CPI Region], MATCH($J44, tblCPI_Map[Census Division and State], 0)), tblCPI[[#Headers],[West]:[National]], 0)+1, FALSE)</f>
        <v>14.902723735408561</v>
      </c>
      <c r="O44" s="88">
        <f t="shared" si="2"/>
        <v>13.79</v>
      </c>
      <c r="P44" s="80">
        <f t="shared" si="3"/>
        <v>8.0690626208017521E-2</v>
      </c>
    </row>
    <row r="45" spans="1:16" x14ac:dyDescent="0.25">
      <c r="A45" s="25" t="s">
        <v>220</v>
      </c>
      <c r="B45" s="44">
        <v>12.08</v>
      </c>
      <c r="C45" s="44">
        <v>11.57</v>
      </c>
      <c r="D45" s="44"/>
      <c r="E45" s="88">
        <f>$B45 * VLOOKUP(2025, tblCPI[], MATCH(INDEX(tblCPI_Map[CPI Region], MATCH($A45, tblCPI_Map[Census Division and State], 0)), tblCPI[[#Headers],[West]:[National]], 0)+1, FALSE) /VLOOKUP("2026p", tblCPI[], MATCH(INDEX(tblCPI_Map[CPI Region], MATCH($A45, tblCPI_Map[Census Division and State], 0)), tblCPI[[#Headers],[West]:[National]], 0)+1, FALSE)</f>
        <v>11.750972762645914</v>
      </c>
      <c r="F45" s="61">
        <f t="shared" si="0"/>
        <v>11.57</v>
      </c>
      <c r="G45" s="80">
        <f t="shared" si="1"/>
        <v>1.5641552519093622E-2</v>
      </c>
      <c r="J45" s="25" t="s">
        <v>220</v>
      </c>
      <c r="K45" s="44">
        <v>13.76</v>
      </c>
      <c r="L45" s="44">
        <v>12.99</v>
      </c>
      <c r="M45" s="44"/>
      <c r="N45" s="88">
        <f>$K45 * VLOOKUP(2025, tblCPI[], MATCH(INDEX(tblCPI_Map[CPI Region], MATCH($J45, tblCPI_Map[Census Division and State], 0)), tblCPI[[#Headers],[West]:[National]], 0)+1, FALSE) /VLOOKUP("2026p", tblCPI[], MATCH(INDEX(tblCPI_Map[CPI Region], MATCH($J45, tblCPI_Map[Census Division and State], 0)), tblCPI[[#Headers],[West]:[National]], 0)+1, FALSE)</f>
        <v>13.3852140077821</v>
      </c>
      <c r="O45" s="88">
        <f t="shared" si="2"/>
        <v>12.99</v>
      </c>
      <c r="P45" s="80">
        <f t="shared" si="3"/>
        <v>3.0424480968598889E-2</v>
      </c>
    </row>
    <row r="46" spans="1:16" x14ac:dyDescent="0.25">
      <c r="A46" s="60" t="s">
        <v>221</v>
      </c>
      <c r="B46" s="44">
        <v>10.1</v>
      </c>
      <c r="C46" s="44">
        <v>9.6199999999999992</v>
      </c>
      <c r="D46" s="44"/>
      <c r="E46" s="88">
        <f>$B46 * VLOOKUP(2025, tblCPI[], MATCH(INDEX(tblCPI_Map[CPI Region], MATCH($A46, tblCPI_Map[Census Division and State], 0)), tblCPI[[#Headers],[West]:[National]], 0)+1, FALSE) /VLOOKUP("2026p", tblCPI[], MATCH(INDEX(tblCPI_Map[CPI Region], MATCH($A46, tblCPI_Map[Census Division and State], 0)), tblCPI[[#Headers],[West]:[National]], 0)+1, FALSE)</f>
        <v>9.8249027237354074</v>
      </c>
      <c r="F46" s="61">
        <f t="shared" si="0"/>
        <v>9.6199999999999992</v>
      </c>
      <c r="G46" s="80">
        <f t="shared" si="1"/>
        <v>2.1299659431955116E-2</v>
      </c>
      <c r="J46" s="60" t="s">
        <v>221</v>
      </c>
      <c r="K46" s="44">
        <v>15.15</v>
      </c>
      <c r="L46" s="44">
        <v>14.08</v>
      </c>
      <c r="M46" s="44"/>
      <c r="N46" s="88">
        <f>$K46 * VLOOKUP(2025, tblCPI[], MATCH(INDEX(tblCPI_Map[CPI Region], MATCH($J46, tblCPI_Map[Census Division and State], 0)), tblCPI[[#Headers],[West]:[National]], 0)+1, FALSE) /VLOOKUP("2026p", tblCPI[], MATCH(INDEX(tblCPI_Map[CPI Region], MATCH($J46, tblCPI_Map[Census Division and State], 0)), tblCPI[[#Headers],[West]:[National]], 0)+1, FALSE)</f>
        <v>14.737354085603112</v>
      </c>
      <c r="O46" s="88">
        <f t="shared" si="2"/>
        <v>14.08</v>
      </c>
      <c r="P46" s="80">
        <f t="shared" si="3"/>
        <v>4.6687079943402834E-2</v>
      </c>
    </row>
    <row r="47" spans="1:16" x14ac:dyDescent="0.25">
      <c r="A47" s="25" t="s">
        <v>222</v>
      </c>
      <c r="B47" s="44">
        <v>9.85</v>
      </c>
      <c r="C47" s="44">
        <v>9.4700000000000006</v>
      </c>
      <c r="D47" s="44"/>
      <c r="E47" s="88">
        <f>$B47 * VLOOKUP(2025, tblCPI[], MATCH(INDEX(tblCPI_Map[CPI Region], MATCH($A47, tblCPI_Map[Census Division and State], 0)), tblCPI[[#Headers],[West]:[National]], 0)+1, FALSE) /VLOOKUP("2026p", tblCPI[], MATCH(INDEX(tblCPI_Map[CPI Region], MATCH($A47, tblCPI_Map[Census Division and State], 0)), tblCPI[[#Headers],[West]:[National]], 0)+1, FALSE)</f>
        <v>9.581712062256809</v>
      </c>
      <c r="F47" s="61">
        <f t="shared" si="0"/>
        <v>9.4700000000000006</v>
      </c>
      <c r="G47" s="80">
        <f t="shared" si="1"/>
        <v>1.1796416288997719E-2</v>
      </c>
      <c r="J47" s="25" t="s">
        <v>222</v>
      </c>
      <c r="K47" s="44">
        <v>13.06</v>
      </c>
      <c r="L47" s="44">
        <v>12.08</v>
      </c>
      <c r="M47" s="44"/>
      <c r="N47" s="88">
        <f>$K47 * VLOOKUP(2025, tblCPI[], MATCH(INDEX(tblCPI_Map[CPI Region], MATCH($J47, tblCPI_Map[Census Division and State], 0)), tblCPI[[#Headers],[West]:[National]], 0)+1, FALSE) /VLOOKUP("2026p", tblCPI[], MATCH(INDEX(tblCPI_Map[CPI Region], MATCH($J47, tblCPI_Map[Census Division and State], 0)), tblCPI[[#Headers],[West]:[National]], 0)+1, FALSE)</f>
        <v>12.704280155642023</v>
      </c>
      <c r="O47" s="88">
        <f t="shared" si="2"/>
        <v>12.08</v>
      </c>
      <c r="P47" s="80">
        <f t="shared" si="3"/>
        <v>5.1678820831293257E-2</v>
      </c>
    </row>
    <row r="48" spans="1:16" x14ac:dyDescent="0.25">
      <c r="A48" s="25" t="s">
        <v>223</v>
      </c>
      <c r="B48" s="44">
        <v>9.99</v>
      </c>
      <c r="C48" s="44">
        <v>9.26</v>
      </c>
      <c r="D48" s="44"/>
      <c r="E48" s="88">
        <f>$B48 * VLOOKUP(2025, tblCPI[], MATCH(INDEX(tblCPI_Map[CPI Region], MATCH($A48, tblCPI_Map[Census Division and State], 0)), tblCPI[[#Headers],[West]:[National]], 0)+1, FALSE) /VLOOKUP("2026p", tblCPI[], MATCH(INDEX(tblCPI_Map[CPI Region], MATCH($A48, tblCPI_Map[Census Division and State], 0)), tblCPI[[#Headers],[West]:[National]], 0)+1, FALSE)</f>
        <v>9.7178988326848241</v>
      </c>
      <c r="F48" s="61">
        <f t="shared" si="0"/>
        <v>9.26</v>
      </c>
      <c r="G48" s="80">
        <f t="shared" si="1"/>
        <v>4.9449118000520986E-2</v>
      </c>
      <c r="J48" s="25" t="s">
        <v>223</v>
      </c>
      <c r="K48" s="44">
        <v>13.36</v>
      </c>
      <c r="L48" s="44">
        <v>12.22</v>
      </c>
      <c r="M48" s="44"/>
      <c r="N48" s="88">
        <f>$K48 * VLOOKUP(2025, tblCPI[], MATCH(INDEX(tblCPI_Map[CPI Region], MATCH($J48, tblCPI_Map[Census Division and State], 0)), tblCPI[[#Headers],[West]:[National]], 0)+1, FALSE) /VLOOKUP("2026p", tblCPI[], MATCH(INDEX(tblCPI_Map[CPI Region], MATCH($J48, tblCPI_Map[Census Division and State], 0)), tblCPI[[#Headers],[West]:[National]], 0)+1, FALSE)</f>
        <v>12.996108949416341</v>
      </c>
      <c r="O48" s="88">
        <f t="shared" si="2"/>
        <v>12.22</v>
      </c>
      <c r="P48" s="80">
        <f t="shared" si="3"/>
        <v>6.3511370656001639E-2</v>
      </c>
    </row>
    <row r="49" spans="1:16" x14ac:dyDescent="0.25">
      <c r="A49" s="25" t="s">
        <v>224</v>
      </c>
      <c r="B49" s="44">
        <v>9.27</v>
      </c>
      <c r="C49" s="44">
        <v>8.67</v>
      </c>
      <c r="D49" s="44"/>
      <c r="E49" s="88">
        <f>$B49 * VLOOKUP(2025, tblCPI[], MATCH(INDEX(tblCPI_Map[CPI Region], MATCH($A49, tblCPI_Map[Census Division and State], 0)), tblCPI[[#Headers],[West]:[National]], 0)+1, FALSE) /VLOOKUP("2026p", tblCPI[], MATCH(INDEX(tblCPI_Map[CPI Region], MATCH($A49, tblCPI_Map[Census Division and State], 0)), tblCPI[[#Headers],[West]:[National]], 0)+1, FALSE)</f>
        <v>9.0175097276264591</v>
      </c>
      <c r="F49" s="61">
        <f t="shared" si="0"/>
        <v>8.67</v>
      </c>
      <c r="G49" s="80">
        <f t="shared" si="1"/>
        <v>4.0081860164528159E-2</v>
      </c>
      <c r="J49" s="25" t="s">
        <v>224</v>
      </c>
      <c r="K49" s="44">
        <v>13.04</v>
      </c>
      <c r="L49" s="44">
        <v>11.87</v>
      </c>
      <c r="M49" s="44"/>
      <c r="N49" s="88">
        <f>$K49 * VLOOKUP(2025, tblCPI[], MATCH(INDEX(tblCPI_Map[CPI Region], MATCH($J49, tblCPI_Map[Census Division and State], 0)), tblCPI[[#Headers],[West]:[National]], 0)+1, FALSE) /VLOOKUP("2026p", tblCPI[], MATCH(INDEX(tblCPI_Map[CPI Region], MATCH($J49, tblCPI_Map[Census Division and State], 0)), tblCPI[[#Headers],[West]:[National]], 0)+1, FALSE)</f>
        <v>12.684824902723735</v>
      </c>
      <c r="O49" s="88">
        <f t="shared" si="2"/>
        <v>11.87</v>
      </c>
      <c r="P49" s="80">
        <f t="shared" si="3"/>
        <v>6.8645737381949082E-2</v>
      </c>
    </row>
    <row r="50" spans="1:16" x14ac:dyDescent="0.25">
      <c r="A50" s="25" t="s">
        <v>225</v>
      </c>
      <c r="B50" s="44">
        <v>10.26</v>
      </c>
      <c r="C50" s="44">
        <v>9.84</v>
      </c>
      <c r="D50" s="44"/>
      <c r="E50" s="88">
        <f>$B50 * VLOOKUP(2025, tblCPI[], MATCH(INDEX(tblCPI_Map[CPI Region], MATCH($A50, tblCPI_Map[Census Division and State], 0)), tblCPI[[#Headers],[West]:[National]], 0)+1, FALSE) /VLOOKUP("2026p", tblCPI[], MATCH(INDEX(tblCPI_Map[CPI Region], MATCH($A50, tblCPI_Map[Census Division and State], 0)), tblCPI[[#Headers],[West]:[National]], 0)+1, FALSE)</f>
        <v>9.9805447470817121</v>
      </c>
      <c r="F50" s="61">
        <f t="shared" si="0"/>
        <v>9.84</v>
      </c>
      <c r="G50" s="80">
        <f t="shared" si="1"/>
        <v>1.4283002752206533E-2</v>
      </c>
      <c r="J50" s="25" t="s">
        <v>225</v>
      </c>
      <c r="K50" s="44">
        <v>16.079999999999998</v>
      </c>
      <c r="L50" s="44">
        <v>15.04</v>
      </c>
      <c r="M50" s="44"/>
      <c r="N50" s="88">
        <f>$K50 * VLOOKUP(2025, tblCPI[], MATCH(INDEX(tblCPI_Map[CPI Region], MATCH($J50, tblCPI_Map[Census Division and State], 0)), tblCPI[[#Headers],[West]:[National]], 0)+1, FALSE) /VLOOKUP("2026p", tblCPI[], MATCH(INDEX(tblCPI_Map[CPI Region], MATCH($J50, tblCPI_Map[Census Division and State], 0)), tblCPI[[#Headers],[West]:[National]], 0)+1, FALSE)</f>
        <v>15.6420233463035</v>
      </c>
      <c r="O50" s="88">
        <f t="shared" si="2"/>
        <v>15.04</v>
      </c>
      <c r="P50" s="80">
        <f t="shared" si="3"/>
        <v>4.0028148025498707E-2</v>
      </c>
    </row>
    <row r="51" spans="1:16" x14ac:dyDescent="0.25">
      <c r="A51" s="60" t="s">
        <v>226</v>
      </c>
      <c r="B51" s="44">
        <v>11.27</v>
      </c>
      <c r="C51" s="44">
        <v>10.88</v>
      </c>
      <c r="D51" s="44"/>
      <c r="E51" s="88">
        <f>$B51 * VLOOKUP(2025, tblCPI[], MATCH(INDEX(tblCPI_Map[CPI Region], MATCH($A51, tblCPI_Map[Census Division and State], 0)), tblCPI[[#Headers],[West]:[National]], 0)+1, FALSE) /VLOOKUP("2026p", tblCPI[], MATCH(INDEX(tblCPI_Map[CPI Region], MATCH($A51, tblCPI_Map[Census Division and State], 0)), tblCPI[[#Headers],[West]:[National]], 0)+1, FALSE)</f>
        <v>10.963035019455253</v>
      </c>
      <c r="F51" s="61">
        <f t="shared" si="0"/>
        <v>10.88</v>
      </c>
      <c r="G51" s="80">
        <f t="shared" si="1"/>
        <v>7.6318951705195096E-3</v>
      </c>
      <c r="J51" s="60" t="s">
        <v>226</v>
      </c>
      <c r="K51" s="44">
        <v>14.8</v>
      </c>
      <c r="L51" s="44">
        <v>13.86</v>
      </c>
      <c r="M51" s="44"/>
      <c r="N51" s="88">
        <f>$K51 * VLOOKUP(2025, tblCPI[], MATCH(INDEX(tblCPI_Map[CPI Region], MATCH($J51, tblCPI_Map[Census Division and State], 0)), tblCPI[[#Headers],[West]:[National]], 0)+1, FALSE) /VLOOKUP("2026p", tblCPI[], MATCH(INDEX(tblCPI_Map[CPI Region], MATCH($J51, tblCPI_Map[Census Division and State], 0)), tblCPI[[#Headers],[West]:[National]], 0)+1, FALSE)</f>
        <v>14.396887159533076</v>
      </c>
      <c r="O51" s="88">
        <f t="shared" si="2"/>
        <v>13.86</v>
      </c>
      <c r="P51" s="80">
        <f t="shared" si="3"/>
        <v>3.8736447296758778E-2</v>
      </c>
    </row>
    <row r="52" spans="1:16" x14ac:dyDescent="0.25">
      <c r="A52" s="25" t="s">
        <v>227</v>
      </c>
      <c r="B52" s="44">
        <v>12.31</v>
      </c>
      <c r="C52" s="44">
        <v>12.47</v>
      </c>
      <c r="D52" s="44"/>
      <c r="E52" s="88">
        <f>$B52 * VLOOKUP(2025, tblCPI[], MATCH(INDEX(tblCPI_Map[CPI Region], MATCH($A52, tblCPI_Map[Census Division and State], 0)), tblCPI[[#Headers],[West]:[National]], 0)+1, FALSE) /VLOOKUP("2026p", tblCPI[], MATCH(INDEX(tblCPI_Map[CPI Region], MATCH($A52, tblCPI_Map[Census Division and State], 0)), tblCPI[[#Headers],[West]:[National]], 0)+1, FALSE)</f>
        <v>11.974708171206228</v>
      </c>
      <c r="F52" s="61">
        <f t="shared" si="0"/>
        <v>12.47</v>
      </c>
      <c r="G52" s="80">
        <f t="shared" si="1"/>
        <v>-3.9718671114175867E-2</v>
      </c>
      <c r="J52" s="25" t="s">
        <v>227</v>
      </c>
      <c r="K52" s="44">
        <v>15.66</v>
      </c>
      <c r="L52" s="44">
        <v>15.17</v>
      </c>
      <c r="M52" s="44"/>
      <c r="N52" s="88">
        <f>$K52 * VLOOKUP(2025, tblCPI[], MATCH(INDEX(tblCPI_Map[CPI Region], MATCH($J52, tblCPI_Map[Census Division and State], 0)), tblCPI[[#Headers],[West]:[National]], 0)+1, FALSE) /VLOOKUP("2026p", tblCPI[], MATCH(INDEX(tblCPI_Map[CPI Region], MATCH($J52, tblCPI_Map[Census Division and State], 0)), tblCPI[[#Headers],[West]:[National]], 0)+1, FALSE)</f>
        <v>15.233463035019454</v>
      </c>
      <c r="O52" s="88">
        <f t="shared" si="2"/>
        <v>15.17</v>
      </c>
      <c r="P52" s="80">
        <f t="shared" si="3"/>
        <v>4.1834564943608763E-3</v>
      </c>
    </row>
    <row r="53" spans="1:16" x14ac:dyDescent="0.25">
      <c r="A53" s="25" t="s">
        <v>228</v>
      </c>
      <c r="B53" s="44">
        <v>13.23</v>
      </c>
      <c r="C53" s="44">
        <v>12</v>
      </c>
      <c r="D53" s="44"/>
      <c r="E53" s="88">
        <f>$B53 * VLOOKUP(2025, tblCPI[], MATCH(INDEX(tblCPI_Map[CPI Region], MATCH($A53, tblCPI_Map[Census Division and State], 0)), tblCPI[[#Headers],[West]:[National]], 0)+1, FALSE) /VLOOKUP("2026p", tblCPI[], MATCH(INDEX(tblCPI_Map[CPI Region], MATCH($A53, tblCPI_Map[Census Division and State], 0)), tblCPI[[#Headers],[West]:[National]], 0)+1, FALSE)</f>
        <v>12.869649805447471</v>
      </c>
      <c r="F53" s="61">
        <f t="shared" si="0"/>
        <v>12</v>
      </c>
      <c r="G53" s="80">
        <f t="shared" si="1"/>
        <v>7.2470817120622602E-2</v>
      </c>
      <c r="J53" s="25" t="s">
        <v>228</v>
      </c>
      <c r="K53" s="44">
        <v>16.62</v>
      </c>
      <c r="L53" s="44">
        <v>15.12</v>
      </c>
      <c r="M53" s="44"/>
      <c r="N53" s="88">
        <f>$K53 * VLOOKUP(2025, tblCPI[], MATCH(INDEX(tblCPI_Map[CPI Region], MATCH($J53, tblCPI_Map[Census Division and State], 0)), tblCPI[[#Headers],[West]:[National]], 0)+1, FALSE) /VLOOKUP("2026p", tblCPI[], MATCH(INDEX(tblCPI_Map[CPI Region], MATCH($J53, tblCPI_Map[Census Division and State], 0)), tblCPI[[#Headers],[West]:[National]], 0)+1, FALSE)</f>
        <v>16.167315175097276</v>
      </c>
      <c r="O53" s="88">
        <f t="shared" si="2"/>
        <v>15.12</v>
      </c>
      <c r="P53" s="80">
        <f t="shared" si="3"/>
        <v>6.9266876659872786E-2</v>
      </c>
    </row>
    <row r="54" spans="1:16" x14ac:dyDescent="0.25">
      <c r="A54" s="25" t="s">
        <v>229</v>
      </c>
      <c r="B54" s="44">
        <v>10.029999999999999</v>
      </c>
      <c r="C54" s="44">
        <v>9.4499999999999993</v>
      </c>
      <c r="D54" s="44"/>
      <c r="E54" s="88">
        <f>$B54 * VLOOKUP(2025, tblCPI[], MATCH(INDEX(tblCPI_Map[CPI Region], MATCH($A54, tblCPI_Map[Census Division and State], 0)), tblCPI[[#Headers],[West]:[National]], 0)+1, FALSE) /VLOOKUP("2026p", tblCPI[], MATCH(INDEX(tblCPI_Map[CPI Region], MATCH($A54, tblCPI_Map[Census Division and State], 0)), tblCPI[[#Headers],[West]:[National]], 0)+1, FALSE)</f>
        <v>9.7568093385214016</v>
      </c>
      <c r="F54" s="61">
        <f t="shared" si="0"/>
        <v>9.4499999999999993</v>
      </c>
      <c r="G54" s="80">
        <f t="shared" si="1"/>
        <v>3.2466596668931466E-2</v>
      </c>
      <c r="J54" s="25" t="s">
        <v>229</v>
      </c>
      <c r="K54" s="44">
        <v>12.55</v>
      </c>
      <c r="L54" s="44">
        <v>11.23</v>
      </c>
      <c r="M54" s="44"/>
      <c r="N54" s="88">
        <f>$K54 * VLOOKUP(2025, tblCPI[], MATCH(INDEX(tblCPI_Map[CPI Region], MATCH($J54, tblCPI_Map[Census Division and State], 0)), tblCPI[[#Headers],[West]:[National]], 0)+1, FALSE) /VLOOKUP("2026p", tblCPI[], MATCH(INDEX(tblCPI_Map[CPI Region], MATCH($J54, tblCPI_Map[Census Division and State], 0)), tblCPI[[#Headers],[West]:[National]], 0)+1, FALSE)</f>
        <v>12.208171206225682</v>
      </c>
      <c r="O54" s="88">
        <f t="shared" si="2"/>
        <v>11.23</v>
      </c>
      <c r="P54" s="80">
        <f t="shared" si="3"/>
        <v>8.710340215722899E-2</v>
      </c>
    </row>
    <row r="55" spans="1:16" x14ac:dyDescent="0.25">
      <c r="A55" s="25" t="s">
        <v>230</v>
      </c>
      <c r="B55" s="44">
        <v>11.22</v>
      </c>
      <c r="C55" s="44">
        <v>10.19</v>
      </c>
      <c r="D55" s="44"/>
      <c r="E55" s="88">
        <f>$B55 * VLOOKUP(2025, tblCPI[], MATCH(INDEX(tblCPI_Map[CPI Region], MATCH($A55, tblCPI_Map[Census Division and State], 0)), tblCPI[[#Headers],[West]:[National]], 0)+1, FALSE) /VLOOKUP("2026p", tblCPI[], MATCH(INDEX(tblCPI_Map[CPI Region], MATCH($A55, tblCPI_Map[Census Division and State], 0)), tblCPI[[#Headers],[West]:[National]], 0)+1, FALSE)</f>
        <v>10.914396887159535</v>
      </c>
      <c r="F55" s="61">
        <f t="shared" si="0"/>
        <v>10.19</v>
      </c>
      <c r="G55" s="80">
        <f t="shared" si="1"/>
        <v>7.1088997758541286E-2</v>
      </c>
      <c r="J55" s="25" t="s">
        <v>230</v>
      </c>
      <c r="K55" s="44">
        <v>13.35</v>
      </c>
      <c r="L55" s="44">
        <v>11.75</v>
      </c>
      <c r="M55" s="44"/>
      <c r="N55" s="88">
        <f>$K55 * VLOOKUP(2025, tblCPI[], MATCH(INDEX(tblCPI_Map[CPI Region], MATCH($J55, tblCPI_Map[Census Division and State], 0)), tblCPI[[#Headers],[West]:[National]], 0)+1, FALSE) /VLOOKUP("2026p", tblCPI[], MATCH(INDEX(tblCPI_Map[CPI Region], MATCH($J55, tblCPI_Map[Census Division and State], 0)), tblCPI[[#Headers],[West]:[National]], 0)+1, FALSE)</f>
        <v>12.986381322957198</v>
      </c>
      <c r="O55" s="88">
        <f t="shared" si="2"/>
        <v>11.75</v>
      </c>
      <c r="P55" s="80">
        <f t="shared" si="3"/>
        <v>0.10522394237933604</v>
      </c>
    </row>
    <row r="56" spans="1:16" x14ac:dyDescent="0.25">
      <c r="A56" s="25" t="s">
        <v>231</v>
      </c>
      <c r="B56" s="44">
        <v>10.130000000000001</v>
      </c>
      <c r="C56" s="44">
        <v>9.9700000000000006</v>
      </c>
      <c r="D56" s="44"/>
      <c r="E56" s="88">
        <f>$B56 * VLOOKUP(2025, tblCPI[], MATCH(INDEX(tblCPI_Map[CPI Region], MATCH($A56, tblCPI_Map[Census Division and State], 0)), tblCPI[[#Headers],[West]:[National]], 0)+1, FALSE) /VLOOKUP("2026p", tblCPI[], MATCH(INDEX(tblCPI_Map[CPI Region], MATCH($A56, tblCPI_Map[Census Division and State], 0)), tblCPI[[#Headers],[West]:[National]], 0)+1, FALSE)</f>
        <v>9.854085603112841</v>
      </c>
      <c r="F56" s="61">
        <f t="shared" si="0"/>
        <v>9.9700000000000006</v>
      </c>
      <c r="G56" s="80">
        <f t="shared" si="1"/>
        <v>-1.1626318644649915E-2</v>
      </c>
      <c r="J56" s="25" t="s">
        <v>231</v>
      </c>
      <c r="K56" s="44">
        <v>14.19</v>
      </c>
      <c r="L56" s="44">
        <v>14.05</v>
      </c>
      <c r="M56" s="44"/>
      <c r="N56" s="88">
        <f>$K56 * VLOOKUP(2025, tblCPI[], MATCH(INDEX(tblCPI_Map[CPI Region], MATCH($J56, tblCPI_Map[Census Division and State], 0)), tblCPI[[#Headers],[West]:[National]], 0)+1, FALSE) /VLOOKUP("2026p", tblCPI[], MATCH(INDEX(tblCPI_Map[CPI Region], MATCH($J56, tblCPI_Map[Census Division and State], 0)), tblCPI[[#Headers],[West]:[National]], 0)+1, FALSE)</f>
        <v>13.803501945525291</v>
      </c>
      <c r="O56" s="88">
        <f t="shared" si="2"/>
        <v>14.05</v>
      </c>
      <c r="P56" s="80">
        <f t="shared" si="3"/>
        <v>-1.754434551421423E-2</v>
      </c>
    </row>
    <row r="57" spans="1:16" x14ac:dyDescent="0.25">
      <c r="A57" s="25" t="s">
        <v>232</v>
      </c>
      <c r="B57" s="44">
        <v>9.01</v>
      </c>
      <c r="C57" s="44">
        <v>9.34</v>
      </c>
      <c r="D57" s="44"/>
      <c r="E57" s="88">
        <f>$B57 * VLOOKUP(2025, tblCPI[], MATCH(INDEX(tblCPI_Map[CPI Region], MATCH($A57, tblCPI_Map[Census Division and State], 0)), tblCPI[[#Headers],[West]:[National]], 0)+1, FALSE) /VLOOKUP("2026p", tblCPI[], MATCH(INDEX(tblCPI_Map[CPI Region], MATCH($A57, tblCPI_Map[Census Division and State], 0)), tblCPI[[#Headers],[West]:[National]], 0)+1, FALSE)</f>
        <v>8.7645914396887168</v>
      </c>
      <c r="F57" s="61">
        <f t="shared" si="0"/>
        <v>9.34</v>
      </c>
      <c r="G57" s="80">
        <f t="shared" si="1"/>
        <v>-6.1606912238895403E-2</v>
      </c>
      <c r="J57" s="25" t="s">
        <v>232</v>
      </c>
      <c r="K57" s="44">
        <v>14.92</v>
      </c>
      <c r="L57" s="44">
        <v>14.28</v>
      </c>
      <c r="M57" s="44"/>
      <c r="N57" s="88">
        <f>$K57 * VLOOKUP(2025, tblCPI[], MATCH(INDEX(tblCPI_Map[CPI Region], MATCH($J57, tblCPI_Map[Census Division and State], 0)), tblCPI[[#Headers],[West]:[National]], 0)+1, FALSE) /VLOOKUP("2026p", tblCPI[], MATCH(INDEX(tblCPI_Map[CPI Region], MATCH($J57, tblCPI_Map[Census Division and State], 0)), tblCPI[[#Headers],[West]:[National]], 0)+1, FALSE)</f>
        <v>14.513618677042802</v>
      </c>
      <c r="O57" s="88">
        <f t="shared" si="2"/>
        <v>14.28</v>
      </c>
      <c r="P57" s="80">
        <f t="shared" si="3"/>
        <v>1.6359851333529563E-2</v>
      </c>
    </row>
    <row r="58" spans="1:16" x14ac:dyDescent="0.25">
      <c r="A58" s="25" t="s">
        <v>233</v>
      </c>
      <c r="B58" s="44">
        <v>10.57</v>
      </c>
      <c r="C58" s="44">
        <v>10.02</v>
      </c>
      <c r="D58" s="44"/>
      <c r="E58" s="88">
        <f>$B58 * VLOOKUP(2025, tblCPI[], MATCH(INDEX(tblCPI_Map[CPI Region], MATCH($A58, tblCPI_Map[Census Division and State], 0)), tblCPI[[#Headers],[West]:[National]], 0)+1, FALSE) /VLOOKUP("2026p", tblCPI[], MATCH(INDEX(tblCPI_Map[CPI Region], MATCH($A58, tblCPI_Map[Census Division and State], 0)), tblCPI[[#Headers],[West]:[National]], 0)+1, FALSE)</f>
        <v>10.282101167315176</v>
      </c>
      <c r="F58" s="61">
        <f t="shared" si="0"/>
        <v>10.02</v>
      </c>
      <c r="G58" s="80">
        <f t="shared" si="1"/>
        <v>2.6157801129259112E-2</v>
      </c>
      <c r="J58" s="25" t="s">
        <v>233</v>
      </c>
      <c r="K58" s="44">
        <v>13.15</v>
      </c>
      <c r="L58" s="44">
        <v>12.33</v>
      </c>
      <c r="M58" s="44"/>
      <c r="N58" s="88">
        <f>$K58 * VLOOKUP(2025, tblCPI[], MATCH(INDEX(tblCPI_Map[CPI Region], MATCH($J58, tblCPI_Map[Census Division and State], 0)), tblCPI[[#Headers],[West]:[National]], 0)+1, FALSE) /VLOOKUP("2026p", tblCPI[], MATCH(INDEX(tblCPI_Map[CPI Region], MATCH($J58, tblCPI_Map[Census Division and State], 0)), tblCPI[[#Headers],[West]:[National]], 0)+1, FALSE)</f>
        <v>12.79182879377432</v>
      </c>
      <c r="O58" s="88">
        <f t="shared" si="2"/>
        <v>12.33</v>
      </c>
      <c r="P58" s="80">
        <f t="shared" si="3"/>
        <v>3.7455701036035662E-2</v>
      </c>
    </row>
    <row r="59" spans="1:16" x14ac:dyDescent="0.25">
      <c r="A59" s="25" t="s">
        <v>234</v>
      </c>
      <c r="B59" s="44">
        <v>9.8699999999999992</v>
      </c>
      <c r="C59" s="44">
        <v>9.4700000000000006</v>
      </c>
      <c r="D59" s="44"/>
      <c r="E59" s="88">
        <f>$B59 * VLOOKUP(2025, tblCPI[], MATCH(INDEX(tblCPI_Map[CPI Region], MATCH($A59, tblCPI_Map[Census Division and State], 0)), tblCPI[[#Headers],[West]:[National]], 0)+1, FALSE) /VLOOKUP("2026p", tblCPI[], MATCH(INDEX(tblCPI_Map[CPI Region], MATCH($A59, tblCPI_Map[Census Division and State], 0)), tblCPI[[#Headers],[West]:[National]], 0)+1, FALSE)</f>
        <v>9.6011673151750969</v>
      </c>
      <c r="F59" s="61">
        <f t="shared" si="0"/>
        <v>9.4700000000000006</v>
      </c>
      <c r="G59" s="80">
        <f t="shared" si="1"/>
        <v>1.3850825256081971E-2</v>
      </c>
      <c r="J59" s="25" t="s">
        <v>234</v>
      </c>
      <c r="K59" s="44">
        <v>13.44</v>
      </c>
      <c r="L59" s="44">
        <v>12.12</v>
      </c>
      <c r="M59" s="44"/>
      <c r="N59" s="88">
        <f>$K59 * VLOOKUP(2025, tblCPI[], MATCH(INDEX(tblCPI_Map[CPI Region], MATCH($J59, tblCPI_Map[Census Division and State], 0)), tblCPI[[#Headers],[West]:[National]], 0)+1, FALSE) /VLOOKUP("2026p", tblCPI[], MATCH(INDEX(tblCPI_Map[CPI Region], MATCH($J59, tblCPI_Map[Census Division and State], 0)), tblCPI[[#Headers],[West]:[National]], 0)+1, FALSE)</f>
        <v>13.073929961089494</v>
      </c>
      <c r="O59" s="88">
        <f t="shared" si="2"/>
        <v>12.12</v>
      </c>
      <c r="P59" s="80">
        <f t="shared" si="3"/>
        <v>7.8707092499133227E-2</v>
      </c>
    </row>
    <row r="60" spans="1:16" x14ac:dyDescent="0.25">
      <c r="A60" s="60" t="s">
        <v>235</v>
      </c>
      <c r="B60" s="44">
        <v>20.56</v>
      </c>
      <c r="C60" s="44">
        <v>19.510000000000002</v>
      </c>
      <c r="D60" s="44"/>
      <c r="E60" s="88">
        <f>$B60 * VLOOKUP(2025, tblCPI[], MATCH(INDEX(tblCPI_Map[CPI Region], MATCH($A60, tblCPI_Map[Census Division and State], 0)), tblCPI[[#Headers],[West]:[National]], 0)+1, FALSE) /VLOOKUP("2026p", tblCPI[], MATCH(INDEX(tblCPI_Map[CPI Region], MATCH($A60, tblCPI_Map[Census Division and State], 0)), tblCPI[[#Headers],[West]:[National]], 0)+1, FALSE)</f>
        <v>19.999999999999996</v>
      </c>
      <c r="F60" s="61">
        <f t="shared" si="0"/>
        <v>19.510000000000002</v>
      </c>
      <c r="G60" s="80">
        <f t="shared" si="1"/>
        <v>2.5115325474115574E-2</v>
      </c>
      <c r="J60" s="60" t="s">
        <v>235</v>
      </c>
      <c r="K60" s="44">
        <v>24.44</v>
      </c>
      <c r="L60" s="44">
        <v>23.02</v>
      </c>
      <c r="M60" s="44"/>
      <c r="N60" s="88">
        <f>$K60 * VLOOKUP(2025, tblCPI[], MATCH(INDEX(tblCPI_Map[CPI Region], MATCH($J60, tblCPI_Map[Census Division and State], 0)), tblCPI[[#Headers],[West]:[National]], 0)+1, FALSE) /VLOOKUP("2026p", tblCPI[], MATCH(INDEX(tblCPI_Map[CPI Region], MATCH($J60, tblCPI_Map[Census Division and State], 0)), tblCPI[[#Headers],[West]:[National]], 0)+1, FALSE)</f>
        <v>23.774319066147861</v>
      </c>
      <c r="O60" s="88">
        <f t="shared" si="2"/>
        <v>23.02</v>
      </c>
      <c r="P60" s="80">
        <f t="shared" si="3"/>
        <v>3.2767987234920123E-2</v>
      </c>
    </row>
    <row r="61" spans="1:16" x14ac:dyDescent="0.25">
      <c r="A61" s="25" t="s">
        <v>236</v>
      </c>
      <c r="B61" s="44">
        <v>27.02</v>
      </c>
      <c r="C61" s="44">
        <v>25.81</v>
      </c>
      <c r="D61" s="44"/>
      <c r="E61" s="88">
        <f>$B61 * VLOOKUP(2025, tblCPI[], MATCH(INDEX(tblCPI_Map[CPI Region], MATCH($A61, tblCPI_Map[Census Division and State], 0)), tblCPI[[#Headers],[West]:[National]], 0)+1, FALSE) /VLOOKUP("2026p", tblCPI[], MATCH(INDEX(tblCPI_Map[CPI Region], MATCH($A61, tblCPI_Map[Census Division and State], 0)), tblCPI[[#Headers],[West]:[National]], 0)+1, FALSE)</f>
        <v>26.284046692607003</v>
      </c>
      <c r="F61" s="61">
        <f t="shared" si="0"/>
        <v>25.81</v>
      </c>
      <c r="G61" s="80">
        <f t="shared" si="1"/>
        <v>1.8366783905734374E-2</v>
      </c>
      <c r="J61" s="25" t="s">
        <v>236</v>
      </c>
      <c r="K61" s="44">
        <v>32.74</v>
      </c>
      <c r="L61" s="44">
        <v>31.9</v>
      </c>
      <c r="M61" s="44"/>
      <c r="N61" s="88">
        <f>$K61 * VLOOKUP(2025, tblCPI[], MATCH(INDEX(tblCPI_Map[CPI Region], MATCH($J61, tblCPI_Map[Census Division and State], 0)), tblCPI[[#Headers],[West]:[National]], 0)+1, FALSE) /VLOOKUP("2026p", tblCPI[], MATCH(INDEX(tblCPI_Map[CPI Region], MATCH($J61, tblCPI_Map[Census Division and State], 0)), tblCPI[[#Headers],[West]:[National]], 0)+1, FALSE)</f>
        <v>31.848249027237358</v>
      </c>
      <c r="O61" s="88">
        <f t="shared" si="2"/>
        <v>31.9</v>
      </c>
      <c r="P61" s="80">
        <f t="shared" si="3"/>
        <v>-1.6222875474181946E-3</v>
      </c>
    </row>
    <row r="62" spans="1:16" x14ac:dyDescent="0.25">
      <c r="A62" s="25" t="s">
        <v>237</v>
      </c>
      <c r="B62" s="44">
        <v>11.37</v>
      </c>
      <c r="C62" s="44">
        <v>11.48</v>
      </c>
      <c r="D62" s="44"/>
      <c r="E62" s="88">
        <f>$B62 * VLOOKUP(2025, tblCPI[], MATCH(INDEX(tblCPI_Map[CPI Region], MATCH($A62, tblCPI_Map[Census Division and State], 0)), tblCPI[[#Headers],[West]:[National]], 0)+1, FALSE) /VLOOKUP("2026p", tblCPI[], MATCH(INDEX(tblCPI_Map[CPI Region], MATCH($A62, tblCPI_Map[Census Division and State], 0)), tblCPI[[#Headers],[West]:[National]], 0)+1, FALSE)</f>
        <v>11.060311284046692</v>
      </c>
      <c r="F62" s="61">
        <f t="shared" si="0"/>
        <v>11.48</v>
      </c>
      <c r="G62" s="80">
        <f t="shared" si="1"/>
        <v>-3.6558250518580838E-2</v>
      </c>
      <c r="J62" s="25" t="s">
        <v>237</v>
      </c>
      <c r="K62" s="44">
        <v>14.93</v>
      </c>
      <c r="L62" s="44">
        <v>14.86</v>
      </c>
      <c r="M62" s="44"/>
      <c r="N62" s="88">
        <f>$K62 * VLOOKUP(2025, tblCPI[], MATCH(INDEX(tblCPI_Map[CPI Region], MATCH($J62, tblCPI_Map[Census Division and State], 0)), tblCPI[[#Headers],[West]:[National]], 0)+1, FALSE) /VLOOKUP("2026p", tblCPI[], MATCH(INDEX(tblCPI_Map[CPI Region], MATCH($J62, tblCPI_Map[Census Division and State], 0)), tblCPI[[#Headers],[West]:[National]], 0)+1, FALSE)</f>
        <v>14.523346303501944</v>
      </c>
      <c r="O62" s="88">
        <f t="shared" si="2"/>
        <v>14.86</v>
      </c>
      <c r="P62" s="80">
        <f t="shared" si="3"/>
        <v>-2.2655026682237938E-2</v>
      </c>
    </row>
    <row r="63" spans="1:16" x14ac:dyDescent="0.25">
      <c r="A63" s="25" t="s">
        <v>238</v>
      </c>
      <c r="B63" s="44">
        <v>12.06</v>
      </c>
      <c r="C63" s="44">
        <v>10.76</v>
      </c>
      <c r="D63" s="44"/>
      <c r="E63" s="88">
        <f>$B63 * VLOOKUP(2025, tblCPI[], MATCH(INDEX(tblCPI_Map[CPI Region], MATCH($A63, tblCPI_Map[Census Division and State], 0)), tblCPI[[#Headers],[West]:[National]], 0)+1, FALSE) /VLOOKUP("2026p", tblCPI[], MATCH(INDEX(tblCPI_Map[CPI Region], MATCH($A63, tblCPI_Map[Census Division and State], 0)), tblCPI[[#Headers],[West]:[National]], 0)+1, FALSE)</f>
        <v>11.731517509727626</v>
      </c>
      <c r="F63" s="61">
        <f t="shared" si="0"/>
        <v>10.76</v>
      </c>
      <c r="G63" s="80">
        <f t="shared" si="1"/>
        <v>9.0289731387325822E-2</v>
      </c>
      <c r="J63" s="25" t="s">
        <v>238</v>
      </c>
      <c r="K63" s="44">
        <v>14.15</v>
      </c>
      <c r="L63" s="44">
        <v>12.41</v>
      </c>
      <c r="M63" s="44"/>
      <c r="N63" s="88">
        <f>$K63 * VLOOKUP(2025, tblCPI[], MATCH(INDEX(tblCPI_Map[CPI Region], MATCH($J63, tblCPI_Map[Census Division and State], 0)), tblCPI[[#Headers],[West]:[National]], 0)+1, FALSE) /VLOOKUP("2026p", tblCPI[], MATCH(INDEX(tblCPI_Map[CPI Region], MATCH($J63, tblCPI_Map[Census Division and State], 0)), tblCPI[[#Headers],[West]:[National]], 0)+1, FALSE)</f>
        <v>13.764591439688717</v>
      </c>
      <c r="O63" s="88">
        <f t="shared" si="2"/>
        <v>12.41</v>
      </c>
      <c r="P63" s="80">
        <f t="shared" si="3"/>
        <v>0.10915321834719716</v>
      </c>
    </row>
    <row r="64" spans="1:16" x14ac:dyDescent="0.25">
      <c r="A64" s="60" t="s">
        <v>239</v>
      </c>
      <c r="B64" s="44">
        <v>31.95</v>
      </c>
      <c r="C64" s="44">
        <v>30.83</v>
      </c>
      <c r="D64" s="44"/>
      <c r="E64" s="88">
        <f>$B64 * VLOOKUP(2025, tblCPI[], MATCH(INDEX(tblCPI_Map[CPI Region], MATCH($A64, tblCPI_Map[Census Division and State], 0)), tblCPI[[#Headers],[West]:[National]], 0)+1, FALSE) /VLOOKUP("2026p", tblCPI[], MATCH(INDEX(tblCPI_Map[CPI Region], MATCH($A64, tblCPI_Map[Census Division and State], 0)), tblCPI[[#Headers],[West]:[National]], 0)+1, FALSE)</f>
        <v>31.079766536964978</v>
      </c>
      <c r="F64" s="61">
        <f t="shared" si="0"/>
        <v>30.83</v>
      </c>
      <c r="G64" s="80">
        <f t="shared" si="1"/>
        <v>8.101412162341233E-3</v>
      </c>
      <c r="J64" s="60" t="s">
        <v>239</v>
      </c>
      <c r="K64" s="44">
        <v>34.72</v>
      </c>
      <c r="L64" s="44">
        <v>33.950000000000003</v>
      </c>
      <c r="M64" s="44"/>
      <c r="N64" s="88">
        <f>$K64 * VLOOKUP(2025, tblCPI[], MATCH(INDEX(tblCPI_Map[CPI Region], MATCH($J64, tblCPI_Map[Census Division and State], 0)), tblCPI[[#Headers],[West]:[National]], 0)+1, FALSE) /VLOOKUP("2026p", tblCPI[], MATCH(INDEX(tblCPI_Map[CPI Region], MATCH($J64, tblCPI_Map[Census Division and State], 0)), tblCPI[[#Headers],[West]:[National]], 0)+1, FALSE)</f>
        <v>33.774319066147861</v>
      </c>
      <c r="O64" s="88">
        <f t="shared" si="2"/>
        <v>33.950000000000003</v>
      </c>
      <c r="P64" s="80">
        <f t="shared" si="3"/>
        <v>-5.1746961370292225E-3</v>
      </c>
    </row>
    <row r="65" spans="1:16" x14ac:dyDescent="0.25">
      <c r="A65" s="25" t="s">
        <v>240</v>
      </c>
      <c r="B65" s="44">
        <v>24.01</v>
      </c>
      <c r="C65" s="44">
        <v>22.8</v>
      </c>
      <c r="D65" s="44"/>
      <c r="E65" s="88">
        <f>$B65 * VLOOKUP(2025, tblCPI[], MATCH(INDEX(tblCPI_Map[CPI Region], MATCH($A65, tblCPI_Map[Census Division and State], 0)), tblCPI[[#Headers],[West]:[National]], 0)+1, FALSE) /VLOOKUP("2026p", tblCPI[], MATCH(INDEX(tblCPI_Map[CPI Region], MATCH($A65, tblCPI_Map[Census Division and State], 0)), tblCPI[[#Headers],[West]:[National]], 0)+1, FALSE)</f>
        <v>23.35603112840467</v>
      </c>
      <c r="F65" s="61">
        <f t="shared" si="0"/>
        <v>22.8</v>
      </c>
      <c r="G65" s="80">
        <f t="shared" si="1"/>
        <v>2.4387330193187239E-2</v>
      </c>
      <c r="J65" s="25" t="s">
        <v>240</v>
      </c>
      <c r="K65" s="44">
        <v>26.39</v>
      </c>
      <c r="L65" s="44">
        <v>25.26</v>
      </c>
      <c r="M65" s="44"/>
      <c r="N65" s="88">
        <f>$K65 * VLOOKUP(2025, tblCPI[], MATCH(INDEX(tblCPI_Map[CPI Region], MATCH($J65, tblCPI_Map[Census Division and State], 0)), tblCPI[[#Headers],[West]:[National]], 0)+1, FALSE) /VLOOKUP("2026p", tblCPI[], MATCH(INDEX(tblCPI_Map[CPI Region], MATCH($J65, tblCPI_Map[Census Division and State], 0)), tblCPI[[#Headers],[West]:[National]], 0)+1, FALSE)</f>
        <v>25.671206225680933</v>
      </c>
      <c r="O65" s="88">
        <f t="shared" si="2"/>
        <v>25.26</v>
      </c>
      <c r="P65" s="80">
        <f t="shared" si="3"/>
        <v>1.6278947968366257E-2</v>
      </c>
    </row>
    <row r="66" spans="1:16" x14ac:dyDescent="0.25">
      <c r="A66" s="25" t="s">
        <v>241</v>
      </c>
      <c r="B66" s="44">
        <v>38.409999999999997</v>
      </c>
      <c r="C66" s="44">
        <v>36.78</v>
      </c>
      <c r="D66" s="44"/>
      <c r="E66" s="88">
        <f>$B66 * VLOOKUP(2025, tblCPI[], MATCH(INDEX(tblCPI_Map[CPI Region], MATCH($A66, tblCPI_Map[Census Division and State], 0)), tblCPI[[#Headers],[West]:[National]], 0)+1, FALSE) /VLOOKUP("2026p", tblCPI[], MATCH(INDEX(tblCPI_Map[CPI Region], MATCH($A66, tblCPI_Map[Census Division and State], 0)), tblCPI[[#Headers],[West]:[National]], 0)+1, FALSE)</f>
        <v>37.363813229571981</v>
      </c>
      <c r="F66" s="61">
        <f t="shared" si="0"/>
        <v>36.78</v>
      </c>
      <c r="G66" s="80">
        <f t="shared" si="1"/>
        <v>1.5873116627840678E-2</v>
      </c>
      <c r="J66" s="25" t="s">
        <v>241</v>
      </c>
      <c r="K66" s="44">
        <v>42.78</v>
      </c>
      <c r="L66" s="44">
        <v>41.62</v>
      </c>
      <c r="M66" s="44"/>
      <c r="N66" s="88">
        <f>$K66 * VLOOKUP(2025, tblCPI[], MATCH(INDEX(tblCPI_Map[CPI Region], MATCH($J66, tblCPI_Map[Census Division and State], 0)), tblCPI[[#Headers],[West]:[National]], 0)+1, FALSE) /VLOOKUP("2026p", tblCPI[], MATCH(INDEX(tblCPI_Map[CPI Region], MATCH($J66, tblCPI_Map[Census Division and State], 0)), tblCPI[[#Headers],[West]:[National]], 0)+1, FALSE)</f>
        <v>41.614785992217897</v>
      </c>
      <c r="O66" s="88">
        <f t="shared" si="2"/>
        <v>41.62</v>
      </c>
      <c r="P66" s="80">
        <f t="shared" si="3"/>
        <v>-1.2527649644643906E-4</v>
      </c>
    </row>
    <row r="67" spans="1:16" x14ac:dyDescent="0.25">
      <c r="A67" s="60" t="s">
        <v>242</v>
      </c>
      <c r="B67" s="44">
        <v>14.13</v>
      </c>
      <c r="C67" s="44">
        <v>13.14</v>
      </c>
      <c r="D67" s="80"/>
      <c r="E67" s="88">
        <f>$B67 * VLOOKUP(2025, tblCPI[], MATCH(INDEX(tblCPI_Map[CPI Region], MATCH($A67, tblCPI_Map[Census Division and State], 0)), tblCPI[[#Headers],[West]:[National]], 0)+1, FALSE) /VLOOKUP("2026p", tblCPI[], MATCH(INDEX(tblCPI_Map[CPI Region], MATCH($A67, tblCPI_Map[Census Division and State], 0)), tblCPI[[#Headers],[West]:[National]], 0)+1, FALSE)</f>
        <v>13.745136186770427</v>
      </c>
      <c r="F67" s="61">
        <f t="shared" si="0"/>
        <v>13.14</v>
      </c>
      <c r="G67" s="80">
        <f>(E67-F67)/F67</f>
        <v>4.6052982250412981E-2</v>
      </c>
      <c r="J67" s="60" t="s">
        <v>242</v>
      </c>
      <c r="K67" s="44">
        <v>18.04</v>
      </c>
      <c r="L67" s="44">
        <v>16.649999999999999</v>
      </c>
      <c r="M67" s="80"/>
      <c r="N67" s="88">
        <f>$K67 * VLOOKUP(2025, tblCPI[], MATCH(INDEX(tblCPI_Map[CPI Region], MATCH($J67, tblCPI_Map[Census Division and State], 0)), tblCPI[[#Headers],[West]:[National]], 0)+1, FALSE) /VLOOKUP("2026p", tblCPI[], MATCH(INDEX(tblCPI_Map[CPI Region], MATCH($J67, tblCPI_Map[Census Division and State], 0)), tblCPI[[#Headers],[West]:[National]], 0)+1, FALSE)</f>
        <v>17.548638132295718</v>
      </c>
      <c r="O67" s="88">
        <f t="shared" si="2"/>
        <v>16.649999999999999</v>
      </c>
      <c r="P67" s="80">
        <f t="shared" si="3"/>
        <v>5.3972260197941102E-2</v>
      </c>
    </row>
    <row r="70" spans="1:16" x14ac:dyDescent="0.25">
      <c r="A70" t="s">
        <v>197</v>
      </c>
      <c r="B70" s="28" t="s">
        <v>356</v>
      </c>
      <c r="C70"/>
    </row>
    <row r="71" spans="1:16" x14ac:dyDescent="0.25">
      <c r="A71"/>
      <c r="B71" s="28"/>
      <c r="C71"/>
    </row>
    <row r="72" spans="1:16" x14ac:dyDescent="0.25">
      <c r="A72" t="s">
        <v>205</v>
      </c>
      <c r="B72" s="28" t="s">
        <v>357</v>
      </c>
      <c r="C72"/>
    </row>
    <row r="78" spans="1:16" x14ac:dyDescent="0.25">
      <c r="A78" s="28"/>
    </row>
    <row r="79" spans="1:16" x14ac:dyDescent="0.25">
      <c r="B79" s="28"/>
    </row>
    <row r="80" spans="1:16" x14ac:dyDescent="0.25">
      <c r="A80" s="28"/>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CB5E0-4FCE-4721-8DB2-8099C3B652F7}">
  <sheetPr>
    <tabColor rgb="FFFFFF00"/>
  </sheetPr>
  <dimension ref="A1:H62"/>
  <sheetViews>
    <sheetView workbookViewId="0">
      <selection activeCell="I49" sqref="I49"/>
    </sheetView>
  </sheetViews>
  <sheetFormatPr defaultRowHeight="15" x14ac:dyDescent="0.25"/>
  <cols>
    <col min="1" max="1" width="11.85546875" style="25" customWidth="1"/>
    <col min="2" max="2" width="22.42578125" style="54" customWidth="1"/>
    <col min="3" max="3" width="11.85546875" style="25" customWidth="1"/>
    <col min="4" max="5" width="11.85546875" customWidth="1"/>
    <col min="6" max="6" width="11.5703125" style="25" customWidth="1"/>
  </cols>
  <sheetData>
    <row r="1" spans="1:8" x14ac:dyDescent="0.25">
      <c r="A1" s="59" t="s">
        <v>141</v>
      </c>
      <c r="B1" s="126"/>
    </row>
    <row r="2" spans="1:8" x14ac:dyDescent="0.25">
      <c r="A2" s="28" t="s">
        <v>1148</v>
      </c>
      <c r="B2" s="125"/>
      <c r="D2" s="31"/>
    </row>
    <row r="3" spans="1:8" x14ac:dyDescent="0.25">
      <c r="A3" s="59"/>
      <c r="F3"/>
    </row>
    <row r="4" spans="1:8" ht="30.75" customHeight="1" x14ac:dyDescent="0.25">
      <c r="A4" s="43" t="s">
        <v>158</v>
      </c>
      <c r="B4" s="43" t="s">
        <v>1149</v>
      </c>
      <c r="C4" s="54"/>
      <c r="D4" s="54"/>
      <c r="E4" s="54"/>
      <c r="F4" s="54"/>
      <c r="G4" s="54"/>
      <c r="H4" s="54"/>
    </row>
    <row r="5" spans="1:8" x14ac:dyDescent="0.25">
      <c r="A5" s="25">
        <v>1980</v>
      </c>
      <c r="B5" s="88">
        <v>39.746961420823901</v>
      </c>
      <c r="C5" s="26"/>
      <c r="D5" s="88"/>
      <c r="E5" s="61"/>
    </row>
    <row r="6" spans="1:8" x14ac:dyDescent="0.25">
      <c r="A6" s="25">
        <v>1981</v>
      </c>
      <c r="B6" s="88">
        <v>38.4727724192254</v>
      </c>
      <c r="C6" s="26"/>
      <c r="D6" s="88"/>
      <c r="E6" s="61"/>
    </row>
    <row r="7" spans="1:8" x14ac:dyDescent="0.25">
      <c r="A7" s="25">
        <v>1982</v>
      </c>
      <c r="B7" s="88">
        <v>32.582334622453601</v>
      </c>
      <c r="C7" s="26"/>
      <c r="D7" s="88"/>
      <c r="E7" s="61"/>
    </row>
    <row r="8" spans="1:8" x14ac:dyDescent="0.25">
      <c r="A8" s="25">
        <v>1983</v>
      </c>
      <c r="B8" s="88">
        <v>25.782346465203002</v>
      </c>
      <c r="C8" s="26"/>
      <c r="D8" s="88"/>
      <c r="E8" s="61"/>
    </row>
    <row r="9" spans="1:8" x14ac:dyDescent="0.25">
      <c r="A9" s="25">
        <v>1984</v>
      </c>
      <c r="B9" s="88">
        <v>23.405699103620702</v>
      </c>
      <c r="C9" s="26"/>
      <c r="D9" s="88"/>
      <c r="E9" s="61"/>
    </row>
    <row r="10" spans="1:8" x14ac:dyDescent="0.25">
      <c r="A10" s="25">
        <v>1985</v>
      </c>
      <c r="B10" s="88">
        <v>19.060846556778699</v>
      </c>
      <c r="C10" s="26"/>
      <c r="D10" s="88"/>
      <c r="E10" s="61"/>
    </row>
    <row r="11" spans="1:8" x14ac:dyDescent="0.25">
      <c r="A11" s="25">
        <v>1986</v>
      </c>
      <c r="B11" s="88">
        <v>7.9105450230852403</v>
      </c>
      <c r="C11" s="26"/>
      <c r="D11" s="88"/>
      <c r="E11" s="61"/>
    </row>
    <row r="12" spans="1:8" x14ac:dyDescent="0.25">
      <c r="A12" s="25">
        <v>1987</v>
      </c>
      <c r="B12" s="88">
        <v>11.528137261195099</v>
      </c>
      <c r="C12" s="26"/>
      <c r="D12" s="88"/>
      <c r="E12" s="61"/>
    </row>
    <row r="13" spans="1:8" x14ac:dyDescent="0.25">
      <c r="A13" s="25">
        <v>1988</v>
      </c>
      <c r="B13" s="88">
        <v>5.3577348199292203</v>
      </c>
      <c r="C13" s="26"/>
      <c r="D13" s="88"/>
      <c r="E13" s="61"/>
    </row>
    <row r="14" spans="1:8" x14ac:dyDescent="0.25">
      <c r="A14" s="25">
        <v>1989</v>
      </c>
      <c r="B14" s="88">
        <v>8.9732214576075293</v>
      </c>
      <c r="C14" s="26"/>
      <c r="D14" s="88"/>
      <c r="E14" s="61"/>
    </row>
    <row r="15" spans="1:8" x14ac:dyDescent="0.25">
      <c r="A15" s="25">
        <v>1990</v>
      </c>
      <c r="B15" s="88">
        <v>10.528066257307101</v>
      </c>
      <c r="C15" s="26"/>
      <c r="D15" s="88"/>
      <c r="E15" s="61"/>
    </row>
    <row r="16" spans="1:8" x14ac:dyDescent="0.25">
      <c r="A16" s="25">
        <v>1991</v>
      </c>
      <c r="B16" s="88">
        <v>10.0646067400949</v>
      </c>
      <c r="C16" s="26"/>
      <c r="D16" s="88"/>
      <c r="E16" s="61"/>
    </row>
    <row r="17" spans="1:5" x14ac:dyDescent="0.25">
      <c r="A17" s="25">
        <v>1992</v>
      </c>
      <c r="B17" s="88">
        <v>6.2638809060716403</v>
      </c>
      <c r="C17" s="44"/>
      <c r="D17" s="88"/>
      <c r="E17" s="61"/>
    </row>
    <row r="18" spans="1:5" x14ac:dyDescent="0.25">
      <c r="A18" s="25">
        <v>1993</v>
      </c>
      <c r="B18" s="88">
        <v>3.74900860338039</v>
      </c>
      <c r="C18" s="44"/>
      <c r="D18" s="88"/>
      <c r="E18" s="61"/>
    </row>
    <row r="19" spans="1:5" x14ac:dyDescent="0.25">
      <c r="A19" s="25">
        <v>1994</v>
      </c>
      <c r="B19" s="88">
        <v>4.6296284098232299</v>
      </c>
      <c r="C19" s="44"/>
      <c r="D19" s="88"/>
      <c r="E19" s="61"/>
    </row>
    <row r="20" spans="1:5" x14ac:dyDescent="0.25">
      <c r="A20" s="25">
        <v>1995</v>
      </c>
      <c r="B20" s="88">
        <v>1.7489818126766699</v>
      </c>
      <c r="C20" s="44"/>
      <c r="D20" s="88"/>
      <c r="E20" s="61"/>
    </row>
    <row r="21" spans="1:5" x14ac:dyDescent="0.25">
      <c r="A21" s="25">
        <v>1996</v>
      </c>
      <c r="B21" s="88">
        <v>0.26969558171748004</v>
      </c>
      <c r="C21" s="44"/>
      <c r="D21" s="88"/>
      <c r="E21" s="61"/>
    </row>
    <row r="22" spans="1:5" x14ac:dyDescent="0.25">
      <c r="A22" s="25">
        <v>1997</v>
      </c>
      <c r="B22" s="88">
        <v>1.5664051481102599</v>
      </c>
      <c r="C22" s="44"/>
      <c r="D22" s="88"/>
      <c r="E22" s="61"/>
    </row>
    <row r="23" spans="1:5" x14ac:dyDescent="0.25">
      <c r="A23" s="25">
        <v>1998</v>
      </c>
      <c r="B23" s="88">
        <v>0.41292717698279002</v>
      </c>
      <c r="C23" s="44"/>
      <c r="D23" s="88"/>
      <c r="E23" s="61"/>
    </row>
    <row r="24" spans="1:5" x14ac:dyDescent="0.25">
      <c r="A24" s="25">
        <v>1999</v>
      </c>
      <c r="B24" s="88">
        <v>0.71737616394789405</v>
      </c>
      <c r="C24" s="44"/>
      <c r="D24" s="88"/>
      <c r="E24" s="61"/>
    </row>
    <row r="25" spans="1:5" x14ac:dyDescent="0.25">
      <c r="A25" s="25">
        <v>2000</v>
      </c>
      <c r="B25" s="88">
        <v>1.4104588555200701</v>
      </c>
      <c r="C25" s="44"/>
      <c r="D25" s="88"/>
      <c r="E25" s="61"/>
    </row>
    <row r="26" spans="1:5" x14ac:dyDescent="0.25">
      <c r="A26" s="25">
        <v>2001</v>
      </c>
      <c r="B26" s="88">
        <v>1.92381814770973</v>
      </c>
      <c r="C26" s="44"/>
      <c r="D26" s="88"/>
      <c r="E26" s="61"/>
    </row>
    <row r="27" spans="1:5" x14ac:dyDescent="0.25">
      <c r="A27" s="25">
        <v>2002</v>
      </c>
      <c r="B27" s="88">
        <v>3.30805090142039</v>
      </c>
      <c r="C27" s="44"/>
      <c r="D27" s="88"/>
      <c r="E27" s="61"/>
    </row>
    <row r="28" spans="1:5" x14ac:dyDescent="0.25">
      <c r="A28" s="25">
        <v>2003</v>
      </c>
      <c r="B28" s="88">
        <v>3.9317937352121399</v>
      </c>
      <c r="C28" s="44"/>
      <c r="D28" s="88"/>
      <c r="E28" s="61"/>
    </row>
    <row r="29" spans="1:5" x14ac:dyDescent="0.25">
      <c r="A29" s="25">
        <v>2004</v>
      </c>
      <c r="B29" s="88">
        <v>4.6171243197367904</v>
      </c>
      <c r="C29" s="44"/>
      <c r="D29" s="88"/>
      <c r="E29" s="61"/>
    </row>
    <row r="30" spans="1:5" x14ac:dyDescent="0.25">
      <c r="A30" s="25">
        <v>2005</v>
      </c>
      <c r="B30" s="88">
        <v>4.70316765665895</v>
      </c>
      <c r="C30" s="44"/>
      <c r="D30" s="88"/>
      <c r="E30" s="61"/>
    </row>
    <row r="31" spans="1:5" x14ac:dyDescent="0.25">
      <c r="A31" s="25">
        <v>2006</v>
      </c>
      <c r="B31" s="88">
        <v>5.6726441719577796</v>
      </c>
      <c r="C31" s="44"/>
      <c r="D31" s="88"/>
      <c r="E31" s="61"/>
    </row>
    <row r="32" spans="1:5" x14ac:dyDescent="0.25">
      <c r="A32" s="25">
        <v>2007</v>
      </c>
      <c r="B32" s="88">
        <v>10.013914715396099</v>
      </c>
      <c r="C32" s="44"/>
      <c r="D32" s="88"/>
      <c r="E32" s="61"/>
    </row>
    <row r="33" spans="1:5" x14ac:dyDescent="0.25">
      <c r="A33" s="25">
        <v>2008</v>
      </c>
      <c r="B33" s="88">
        <v>8.3143016898817006</v>
      </c>
      <c r="C33" s="44"/>
      <c r="D33" s="88"/>
      <c r="E33" s="61"/>
    </row>
    <row r="34" spans="1:5" x14ac:dyDescent="0.25">
      <c r="A34" s="25">
        <v>2009</v>
      </c>
      <c r="B34" s="88">
        <v>12.8443522706071</v>
      </c>
      <c r="C34" s="44"/>
      <c r="D34" s="88"/>
      <c r="E34" s="61"/>
    </row>
    <row r="35" spans="1:5" x14ac:dyDescent="0.25">
      <c r="A35" s="25">
        <v>2010</v>
      </c>
      <c r="B35" s="88">
        <v>10.2955016277089</v>
      </c>
      <c r="C35" s="44"/>
      <c r="D35" s="88"/>
      <c r="E35" s="61"/>
    </row>
    <row r="36" spans="1:5" x14ac:dyDescent="0.25">
      <c r="A36" s="25">
        <v>2011</v>
      </c>
      <c r="B36" s="88">
        <v>5.7793421695989098</v>
      </c>
      <c r="C36" s="44"/>
      <c r="D36" s="88"/>
      <c r="E36" s="61"/>
    </row>
    <row r="37" spans="1:5" x14ac:dyDescent="0.25">
      <c r="A37" s="25">
        <v>2012</v>
      </c>
      <c r="B37" s="88">
        <v>7.6057376743154999</v>
      </c>
      <c r="C37" s="44"/>
      <c r="D37" s="88"/>
      <c r="E37" s="61"/>
    </row>
    <row r="38" spans="1:5" x14ac:dyDescent="0.25">
      <c r="A38" s="25">
        <v>2013</v>
      </c>
      <c r="B38" s="88">
        <v>6.1989662154717795</v>
      </c>
      <c r="C38" s="44"/>
      <c r="D38" s="88"/>
      <c r="E38" s="61"/>
    </row>
    <row r="39" spans="1:5" x14ac:dyDescent="0.25">
      <c r="A39" s="25">
        <v>2014</v>
      </c>
      <c r="B39" s="88">
        <v>5.9874490931544395</v>
      </c>
      <c r="C39" s="44"/>
      <c r="D39" s="88"/>
      <c r="E39" s="61"/>
    </row>
    <row r="40" spans="1:5" x14ac:dyDescent="0.25">
      <c r="A40" s="25">
        <v>2015</v>
      </c>
      <c r="B40" s="88">
        <v>5.7483621603591804</v>
      </c>
      <c r="C40" s="44"/>
      <c r="D40" s="88"/>
      <c r="E40" s="61"/>
    </row>
    <row r="41" spans="1:5" x14ac:dyDescent="0.25">
      <c r="A41" s="25">
        <v>2016</v>
      </c>
      <c r="B41" s="88">
        <v>7.9289132537156606</v>
      </c>
      <c r="C41" s="44"/>
      <c r="D41" s="88"/>
      <c r="E41" s="61"/>
    </row>
    <row r="42" spans="1:5" x14ac:dyDescent="0.25">
      <c r="A42" s="25">
        <v>2017</v>
      </c>
      <c r="B42" s="88">
        <v>5.9861256026184497</v>
      </c>
      <c r="C42" s="44"/>
      <c r="D42" s="88"/>
      <c r="E42" s="61"/>
    </row>
    <row r="43" spans="1:5" x14ac:dyDescent="0.25">
      <c r="A43" s="25">
        <v>2018</v>
      </c>
      <c r="B43" s="88">
        <v>5.6131665275812805</v>
      </c>
      <c r="C43" s="44"/>
      <c r="D43" s="88"/>
      <c r="E43" s="61"/>
    </row>
    <row r="44" spans="1:5" x14ac:dyDescent="0.25">
      <c r="A44" s="25">
        <v>2019</v>
      </c>
      <c r="B44" s="88">
        <v>10.379297823120499</v>
      </c>
      <c r="C44" s="44"/>
      <c r="D44" s="88"/>
      <c r="E44" s="61"/>
    </row>
    <row r="45" spans="1:5" x14ac:dyDescent="0.25">
      <c r="A45" s="25">
        <v>2020</v>
      </c>
      <c r="B45" s="88">
        <v>4.4990733931316598</v>
      </c>
      <c r="C45" s="44"/>
      <c r="D45" s="88"/>
      <c r="E45" s="61"/>
    </row>
    <row r="46" spans="1:5" x14ac:dyDescent="0.25">
      <c r="A46" s="25">
        <v>2021</v>
      </c>
      <c r="B46" s="88">
        <v>13.4481667622359</v>
      </c>
      <c r="C46" s="44"/>
      <c r="D46" s="88"/>
      <c r="E46" s="61"/>
    </row>
    <row r="47" spans="1:5" x14ac:dyDescent="0.25">
      <c r="A47" s="25">
        <v>2022</v>
      </c>
      <c r="B47" s="88">
        <v>13.131617461546901</v>
      </c>
      <c r="C47" s="44"/>
      <c r="D47" s="88"/>
      <c r="E47" s="61"/>
    </row>
    <row r="48" spans="1:5" x14ac:dyDescent="0.25">
      <c r="A48" s="25">
        <v>2023</v>
      </c>
      <c r="B48" s="88">
        <v>15.1309266303093</v>
      </c>
      <c r="C48" s="44"/>
      <c r="D48" s="88"/>
      <c r="E48" s="61"/>
    </row>
    <row r="49" spans="1:5" x14ac:dyDescent="0.25">
      <c r="A49" s="25">
        <v>2024</v>
      </c>
      <c r="B49" s="88">
        <v>12.4338149294659</v>
      </c>
      <c r="C49" s="44"/>
      <c r="D49" s="88"/>
      <c r="E49" s="61"/>
    </row>
    <row r="50" spans="1:5" x14ac:dyDescent="0.25">
      <c r="A50" s="25">
        <v>2025</v>
      </c>
      <c r="B50" s="88">
        <v>18.228087602999999</v>
      </c>
      <c r="C50" s="44"/>
      <c r="D50" s="88"/>
      <c r="E50" s="61"/>
    </row>
    <row r="51" spans="1:5" x14ac:dyDescent="0.25">
      <c r="B51" s="88"/>
      <c r="C51" s="44"/>
      <c r="D51" s="88"/>
      <c r="E51" s="61"/>
    </row>
    <row r="54" spans="1:5" x14ac:dyDescent="0.25">
      <c r="A54" s="127" t="s">
        <v>197</v>
      </c>
      <c r="B54" s="127" t="s">
        <v>1150</v>
      </c>
    </row>
    <row r="55" spans="1:5" x14ac:dyDescent="0.25">
      <c r="A55" s="127"/>
      <c r="B55" s="127"/>
    </row>
    <row r="56" spans="1:5" x14ac:dyDescent="0.25">
      <c r="A56" s="127" t="s">
        <v>205</v>
      </c>
      <c r="B56" s="127" t="s">
        <v>1151</v>
      </c>
    </row>
    <row r="57" spans="1:5" x14ac:dyDescent="0.25">
      <c r="A57" s="127"/>
      <c r="B57" s="127" t="s">
        <v>1152</v>
      </c>
    </row>
    <row r="58" spans="1:5" x14ac:dyDescent="0.25">
      <c r="A58" s="127"/>
      <c r="B58" s="127" t="s">
        <v>1153</v>
      </c>
    </row>
    <row r="59" spans="1:5" x14ac:dyDescent="0.25">
      <c r="A59" s="127"/>
      <c r="B59" s="127" t="s">
        <v>1154</v>
      </c>
    </row>
    <row r="60" spans="1:5" x14ac:dyDescent="0.25">
      <c r="A60" s="127"/>
    </row>
    <row r="61" spans="1:5" x14ac:dyDescent="0.25">
      <c r="A61" s="28"/>
    </row>
    <row r="62" spans="1:5" x14ac:dyDescent="0.25">
      <c r="A62" s="28"/>
      <c r="B62" s="12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FC3A8-E802-48FB-8D05-BED8C1CDFB4A}">
  <sheetPr>
    <tabColor theme="5" tint="0.59999389629810485"/>
  </sheetPr>
  <dimension ref="A1:J66"/>
  <sheetViews>
    <sheetView workbookViewId="0">
      <selection activeCell="B64" sqref="B64"/>
    </sheetView>
  </sheetViews>
  <sheetFormatPr defaultRowHeight="15" x14ac:dyDescent="0.25"/>
  <cols>
    <col min="1" max="1" width="13.85546875" customWidth="1"/>
    <col min="2" max="3" width="22.42578125" style="25" customWidth="1"/>
    <col min="4" max="4" width="22.42578125" customWidth="1"/>
    <col min="5" max="5" width="25.140625" customWidth="1"/>
    <col min="6" max="10" width="22.42578125" customWidth="1"/>
  </cols>
  <sheetData>
    <row r="1" spans="1:10" x14ac:dyDescent="0.25">
      <c r="A1" s="24" t="s">
        <v>29</v>
      </c>
    </row>
    <row r="2" spans="1:10" x14ac:dyDescent="0.25">
      <c r="A2" t="s">
        <v>30</v>
      </c>
    </row>
    <row r="3" spans="1:10" x14ac:dyDescent="0.25">
      <c r="E3" s="25"/>
      <c r="F3" s="25"/>
      <c r="G3" s="25"/>
      <c r="H3" s="25"/>
      <c r="I3" s="25"/>
      <c r="J3" s="25"/>
    </row>
    <row r="4" spans="1:10" s="31" customFormat="1" ht="50.25" customHeight="1" x14ac:dyDescent="0.25">
      <c r="A4" s="53" t="s">
        <v>158</v>
      </c>
      <c r="B4" s="43" t="s">
        <v>263</v>
      </c>
      <c r="C4" s="43" t="s">
        <v>264</v>
      </c>
      <c r="D4" s="43" t="s">
        <v>265</v>
      </c>
      <c r="E4" s="43" t="s">
        <v>266</v>
      </c>
      <c r="F4" s="43" t="s">
        <v>267</v>
      </c>
      <c r="G4" s="43" t="s">
        <v>268</v>
      </c>
      <c r="H4" s="54"/>
      <c r="I4" s="54"/>
      <c r="J4" s="54"/>
    </row>
    <row r="5" spans="1:10" x14ac:dyDescent="0.25">
      <c r="A5" s="30">
        <v>2010</v>
      </c>
      <c r="B5" s="44">
        <v>11.54</v>
      </c>
      <c r="C5" s="55">
        <v>11.39</v>
      </c>
      <c r="D5" s="26">
        <v>2.782</v>
      </c>
      <c r="E5" s="26">
        <v>91.284999999999997</v>
      </c>
      <c r="F5" s="26">
        <v>91.152000000000001</v>
      </c>
      <c r="G5" s="26">
        <v>83.358000000000004</v>
      </c>
    </row>
    <row r="6" spans="1:10" x14ac:dyDescent="0.25">
      <c r="A6" s="30">
        <v>2011</v>
      </c>
      <c r="B6" s="44">
        <v>11.72</v>
      </c>
      <c r="C6" s="55">
        <v>11.03</v>
      </c>
      <c r="D6" s="26">
        <v>3.5209999999999999</v>
      </c>
      <c r="E6" s="26">
        <v>94.93</v>
      </c>
      <c r="F6" s="26">
        <v>92.817999999999998</v>
      </c>
      <c r="G6" s="26">
        <v>84.477999999999994</v>
      </c>
    </row>
    <row r="7" spans="1:10" x14ac:dyDescent="0.25">
      <c r="A7" s="30">
        <v>2012</v>
      </c>
      <c r="B7" s="44">
        <v>11.88</v>
      </c>
      <c r="C7" s="55">
        <v>10.65</v>
      </c>
      <c r="D7" s="26">
        <v>3.6179999999999999</v>
      </c>
      <c r="E7" s="26">
        <v>97.183000000000007</v>
      </c>
      <c r="F7" s="26">
        <v>94.484999999999999</v>
      </c>
      <c r="G7" s="26">
        <v>86.308999999999997</v>
      </c>
    </row>
    <row r="8" spans="1:10" x14ac:dyDescent="0.25">
      <c r="A8" s="30">
        <v>2013</v>
      </c>
      <c r="B8" s="44">
        <v>12.13</v>
      </c>
      <c r="C8" s="55">
        <v>10.32</v>
      </c>
      <c r="D8" s="26">
        <v>3.5049999999999999</v>
      </c>
      <c r="E8" s="26">
        <v>98.14</v>
      </c>
      <c r="F8" s="26">
        <v>95.793000000000006</v>
      </c>
      <c r="G8" s="26">
        <v>88.308000000000007</v>
      </c>
    </row>
    <row r="9" spans="1:10" x14ac:dyDescent="0.25">
      <c r="A9" s="30">
        <v>2014</v>
      </c>
      <c r="B9" s="44">
        <v>12.52</v>
      </c>
      <c r="C9" s="55">
        <v>10.97</v>
      </c>
      <c r="D9" s="26">
        <v>3.3580000000000001</v>
      </c>
      <c r="E9" s="26">
        <v>100.01600000000001</v>
      </c>
      <c r="F9" s="26">
        <v>96.878</v>
      </c>
      <c r="G9" s="26">
        <v>90.742000000000004</v>
      </c>
    </row>
    <row r="10" spans="1:10" x14ac:dyDescent="0.25">
      <c r="A10" s="30">
        <v>2015</v>
      </c>
      <c r="B10" s="44">
        <v>12.65</v>
      </c>
      <c r="C10" s="55">
        <v>10.38</v>
      </c>
      <c r="D10" s="26">
        <v>2.4289999999999998</v>
      </c>
      <c r="E10" s="26">
        <v>101.14100000000001</v>
      </c>
      <c r="F10" s="26">
        <v>97.427000000000007</v>
      </c>
      <c r="G10" s="26">
        <v>93.536000000000001</v>
      </c>
    </row>
    <row r="11" spans="1:10" x14ac:dyDescent="0.25">
      <c r="A11" s="30">
        <v>2016</v>
      </c>
      <c r="B11" s="44">
        <v>12.55</v>
      </c>
      <c r="C11" s="55">
        <v>10.050000000000001</v>
      </c>
      <c r="D11" s="26">
        <v>2.1429999999999998</v>
      </c>
      <c r="E11" s="26">
        <v>100.13</v>
      </c>
      <c r="F11" s="26">
        <v>98.555999999999997</v>
      </c>
      <c r="G11" s="26">
        <v>96.665999999999997</v>
      </c>
    </row>
    <row r="12" spans="1:10" x14ac:dyDescent="0.25">
      <c r="A12" s="30">
        <v>2017</v>
      </c>
      <c r="B12" s="44">
        <v>12.89</v>
      </c>
      <c r="C12" s="55">
        <v>10.91</v>
      </c>
      <c r="D12" s="26">
        <v>2.415</v>
      </c>
      <c r="E12" s="26">
        <v>100</v>
      </c>
      <c r="F12" s="26">
        <v>100</v>
      </c>
      <c r="G12" s="26">
        <v>100</v>
      </c>
    </row>
    <row r="13" spans="1:10" x14ac:dyDescent="0.25">
      <c r="A13" s="30">
        <v>2018</v>
      </c>
      <c r="B13" s="44">
        <v>12.87</v>
      </c>
      <c r="C13" s="55">
        <v>10.5</v>
      </c>
      <c r="D13" s="26">
        <v>2.7189999999999999</v>
      </c>
      <c r="E13" s="26">
        <v>100.517</v>
      </c>
      <c r="F13" s="26">
        <v>101.86499999999999</v>
      </c>
      <c r="G13" s="26">
        <v>103.39100000000001</v>
      </c>
    </row>
    <row r="14" spans="1:10" x14ac:dyDescent="0.25">
      <c r="A14" s="30">
        <v>2019</v>
      </c>
      <c r="B14" s="44">
        <v>13.01</v>
      </c>
      <c r="C14" s="55">
        <v>10.51</v>
      </c>
      <c r="D14" s="26">
        <v>2.6040000000000001</v>
      </c>
      <c r="E14" s="26">
        <v>101.52800000000001</v>
      </c>
      <c r="F14" s="26">
        <v>103.688</v>
      </c>
      <c r="G14" s="26">
        <v>106.91500000000001</v>
      </c>
    </row>
    <row r="15" spans="1:10" x14ac:dyDescent="0.25">
      <c r="A15" s="30">
        <v>2020</v>
      </c>
      <c r="B15" s="44">
        <v>13.15</v>
      </c>
      <c r="C15" s="55">
        <v>10.78</v>
      </c>
      <c r="D15" s="26">
        <v>2.1680000000000001</v>
      </c>
      <c r="E15" s="26">
        <v>104.88800000000001</v>
      </c>
      <c r="F15" s="26">
        <v>106.313</v>
      </c>
      <c r="G15" s="26">
        <v>109.97799999999999</v>
      </c>
    </row>
    <row r="16" spans="1:10" x14ac:dyDescent="0.25">
      <c r="A16" s="30">
        <v>2021</v>
      </c>
      <c r="B16" s="44">
        <v>13.66</v>
      </c>
      <c r="C16" s="55">
        <v>12.18</v>
      </c>
      <c r="D16" s="26">
        <v>3.008</v>
      </c>
      <c r="E16" s="26">
        <v>108.15900000000001</v>
      </c>
      <c r="F16" s="26">
        <v>109.395</v>
      </c>
      <c r="G16" s="26">
        <v>112.744</v>
      </c>
    </row>
    <row r="17" spans="1:9" x14ac:dyDescent="0.25">
      <c r="A17" s="30">
        <v>2022</v>
      </c>
      <c r="B17" s="44">
        <v>15.04</v>
      </c>
      <c r="C17" s="55">
        <v>14.75</v>
      </c>
      <c r="D17" s="26">
        <v>3.9510000000000001</v>
      </c>
      <c r="E17" s="26">
        <v>119.318</v>
      </c>
      <c r="F17" s="26">
        <v>112.026</v>
      </c>
      <c r="G17" s="26">
        <v>119.34699999999999</v>
      </c>
    </row>
    <row r="18" spans="1:9" x14ac:dyDescent="0.25">
      <c r="A18" s="30">
        <v>2023</v>
      </c>
      <c r="B18" s="44">
        <v>16</v>
      </c>
      <c r="C18" s="55">
        <v>15.4</v>
      </c>
      <c r="D18" s="26">
        <v>3.5190000000000001</v>
      </c>
      <c r="E18" s="26">
        <v>125.328</v>
      </c>
      <c r="F18" s="26">
        <v>114.65</v>
      </c>
      <c r="G18" s="26">
        <v>128.392</v>
      </c>
    </row>
    <row r="19" spans="1:9" x14ac:dyDescent="0.25">
      <c r="A19" s="30">
        <v>2024</v>
      </c>
      <c r="B19" s="44">
        <v>16.48</v>
      </c>
      <c r="C19" s="55">
        <v>14.5</v>
      </c>
      <c r="D19" s="26">
        <v>3.3039999999999998</v>
      </c>
      <c r="E19" s="26">
        <v>126.956</v>
      </c>
      <c r="F19" s="26">
        <v>117.79900000000001</v>
      </c>
      <c r="G19" s="26">
        <v>135.316</v>
      </c>
    </row>
    <row r="20" spans="1:9" x14ac:dyDescent="0.25">
      <c r="A20" s="30">
        <v>2025</v>
      </c>
      <c r="B20" s="44">
        <v>17.3</v>
      </c>
      <c r="C20" s="44">
        <v>15.34</v>
      </c>
      <c r="D20" s="89">
        <v>3.097</v>
      </c>
      <c r="E20" s="89">
        <v>129.4</v>
      </c>
      <c r="F20" s="89">
        <v>120.964</v>
      </c>
      <c r="G20" s="26">
        <v>140.613</v>
      </c>
      <c r="I20" s="26"/>
    </row>
    <row r="22" spans="1:9" x14ac:dyDescent="0.25">
      <c r="A22" t="s">
        <v>269</v>
      </c>
    </row>
    <row r="23" spans="1:9" x14ac:dyDescent="0.25">
      <c r="A23" s="29" t="s">
        <v>158</v>
      </c>
      <c r="B23" s="27" t="s">
        <v>270</v>
      </c>
      <c r="C23" s="83" t="s">
        <v>271</v>
      </c>
      <c r="D23" s="27" t="s">
        <v>272</v>
      </c>
      <c r="E23" s="27" t="s">
        <v>273</v>
      </c>
      <c r="F23" s="27" t="s">
        <v>274</v>
      </c>
      <c r="G23" s="27" t="s">
        <v>275</v>
      </c>
    </row>
    <row r="24" spans="1:9" x14ac:dyDescent="0.25">
      <c r="A24" s="30">
        <v>2010</v>
      </c>
      <c r="B24" s="25">
        <v>100</v>
      </c>
      <c r="C24" s="25">
        <v>100</v>
      </c>
      <c r="D24" s="25">
        <v>100</v>
      </c>
      <c r="E24" s="25">
        <v>100</v>
      </c>
      <c r="F24" s="25">
        <v>100</v>
      </c>
      <c r="G24" s="25">
        <v>100</v>
      </c>
    </row>
    <row r="25" spans="1:9" x14ac:dyDescent="0.25">
      <c r="A25" s="30">
        <v>2011</v>
      </c>
      <c r="B25" s="84">
        <f>B$24*B6/B$5</f>
        <v>101.55979202772964</v>
      </c>
      <c r="C25" s="84">
        <f t="shared" ref="C25:G25" si="0">C$24*C6/C$5</f>
        <v>96.839332748024574</v>
      </c>
      <c r="D25" s="84">
        <f t="shared" si="0"/>
        <v>126.56362329259524</v>
      </c>
      <c r="E25" s="84">
        <f t="shared" ref="E25:E39" si="1">E$24*E6/E$5</f>
        <v>103.99298899052418</v>
      </c>
      <c r="F25" s="84">
        <f t="shared" si="0"/>
        <v>101.82771634193435</v>
      </c>
      <c r="G25" s="84">
        <f t="shared" si="0"/>
        <v>101.34360229372105</v>
      </c>
    </row>
    <row r="26" spans="1:9" x14ac:dyDescent="0.25">
      <c r="A26" s="30">
        <v>2012</v>
      </c>
      <c r="B26" s="84">
        <f t="shared" ref="B26:G26" si="2">B$24*B7/B$5</f>
        <v>102.94627383015599</v>
      </c>
      <c r="C26" s="84">
        <f t="shared" si="2"/>
        <v>93.50307287093942</v>
      </c>
      <c r="D26" s="84">
        <f t="shared" si="2"/>
        <v>130.05032350826744</v>
      </c>
      <c r="E26" s="84">
        <f t="shared" si="1"/>
        <v>106.46108342005807</v>
      </c>
      <c r="F26" s="84">
        <f t="shared" si="2"/>
        <v>103.65652975250131</v>
      </c>
      <c r="G26" s="84">
        <f t="shared" si="2"/>
        <v>103.54015211497396</v>
      </c>
    </row>
    <row r="27" spans="1:9" x14ac:dyDescent="0.25">
      <c r="A27" s="30">
        <v>2013</v>
      </c>
      <c r="B27" s="84">
        <f t="shared" ref="B27:G27" si="3">B$24*B8/B$5</f>
        <v>105.11265164644715</v>
      </c>
      <c r="C27" s="84">
        <f t="shared" si="3"/>
        <v>90.605794556628624</v>
      </c>
      <c r="D27" s="84">
        <f t="shared" si="3"/>
        <v>125.98849748382459</v>
      </c>
      <c r="E27" s="84">
        <f t="shared" si="1"/>
        <v>107.5094484307389</v>
      </c>
      <c r="F27" s="84">
        <f>F$24*F8/F$5</f>
        <v>105.09149552395999</v>
      </c>
      <c r="G27" s="84">
        <f t="shared" si="3"/>
        <v>105.93824228028504</v>
      </c>
    </row>
    <row r="28" spans="1:9" x14ac:dyDescent="0.25">
      <c r="A28" s="30">
        <v>2014</v>
      </c>
      <c r="B28" s="84">
        <f t="shared" ref="B28:G28" si="4">B$24*B9/B$5</f>
        <v>108.49220103986136</v>
      </c>
      <c r="C28" s="84">
        <f t="shared" si="4"/>
        <v>96.312554872695344</v>
      </c>
      <c r="D28" s="84">
        <f t="shared" si="4"/>
        <v>120.70452911574407</v>
      </c>
      <c r="E28" s="84">
        <f t="shared" si="1"/>
        <v>109.5645505833379</v>
      </c>
      <c r="F28" s="84">
        <f>F$24*F9/F$5</f>
        <v>106.28181499034579</v>
      </c>
      <c r="G28" s="84">
        <f t="shared" si="4"/>
        <v>108.85817797931813</v>
      </c>
    </row>
    <row r="29" spans="1:9" x14ac:dyDescent="0.25">
      <c r="A29" s="30">
        <v>2015</v>
      </c>
      <c r="B29" s="84">
        <f>B$24*B10/B$5</f>
        <v>109.61871750433276</v>
      </c>
      <c r="C29" s="84">
        <f t="shared" ref="C29:G29" si="5">C$24*C10/C$5</f>
        <v>91.132572431957854</v>
      </c>
      <c r="D29" s="84">
        <f t="shared" si="5"/>
        <v>87.311286843997109</v>
      </c>
      <c r="E29" s="84">
        <f t="shared" si="1"/>
        <v>110.79695459275895</v>
      </c>
      <c r="F29" s="84">
        <f>F$24*F10/F$5</f>
        <v>106.88410566965069</v>
      </c>
      <c r="G29" s="84">
        <f t="shared" si="5"/>
        <v>112.20998584419011</v>
      </c>
    </row>
    <row r="30" spans="1:9" x14ac:dyDescent="0.25">
      <c r="A30" s="30">
        <v>2016</v>
      </c>
      <c r="B30" s="84">
        <f t="shared" ref="B30:G30" si="6">B$24*B11/B$5</f>
        <v>108.75216637781629</v>
      </c>
      <c r="C30" s="84">
        <f t="shared" si="6"/>
        <v>88.235294117647058</v>
      </c>
      <c r="D30" s="84">
        <f t="shared" si="6"/>
        <v>77.030913012221419</v>
      </c>
      <c r="E30" s="84">
        <f t="shared" si="1"/>
        <v>109.6894341896259</v>
      </c>
      <c r="F30" s="84">
        <f>F$24*F11/F$5</f>
        <v>108.12269615587151</v>
      </c>
      <c r="G30" s="84">
        <f t="shared" si="6"/>
        <v>115.96487439717843</v>
      </c>
    </row>
    <row r="31" spans="1:9" x14ac:dyDescent="0.25">
      <c r="A31" s="30">
        <v>2017</v>
      </c>
      <c r="B31" s="84">
        <f t="shared" ref="B31:G31" si="7">B$24*B12/B$5</f>
        <v>111.69844020797228</v>
      </c>
      <c r="C31" s="84">
        <f t="shared" si="7"/>
        <v>95.785776997366099</v>
      </c>
      <c r="D31" s="84">
        <f t="shared" si="7"/>
        <v>86.808051761322787</v>
      </c>
      <c r="E31" s="84">
        <f t="shared" si="1"/>
        <v>109.54702305964835</v>
      </c>
      <c r="F31" s="84">
        <f t="shared" si="7"/>
        <v>109.70686326136563</v>
      </c>
      <c r="G31" s="84">
        <f t="shared" si="7"/>
        <v>119.9644905108088</v>
      </c>
    </row>
    <row r="32" spans="1:9" x14ac:dyDescent="0.25">
      <c r="A32" s="30">
        <v>2018</v>
      </c>
      <c r="B32" s="84">
        <f t="shared" ref="B32:G32" si="8">B$24*B13/B$5</f>
        <v>111.52512998266899</v>
      </c>
      <c r="C32" s="84">
        <f t="shared" si="8"/>
        <v>92.186128182616329</v>
      </c>
      <c r="D32" s="84">
        <f t="shared" si="8"/>
        <v>97.735442127965484</v>
      </c>
      <c r="E32" s="84">
        <f t="shared" si="1"/>
        <v>110.11338116886672</v>
      </c>
      <c r="F32" s="84">
        <f t="shared" si="8"/>
        <v>111.7528962611901</v>
      </c>
      <c r="G32" s="84">
        <f t="shared" si="8"/>
        <v>124.03248638403032</v>
      </c>
    </row>
    <row r="33" spans="1:7" x14ac:dyDescent="0.25">
      <c r="A33" s="30">
        <v>2019</v>
      </c>
      <c r="B33" s="84">
        <f t="shared" ref="B33:G33" si="9">B$24*B14/B$5</f>
        <v>112.73830155979203</v>
      </c>
      <c r="C33" s="84">
        <f t="shared" si="9"/>
        <v>92.273924495171201</v>
      </c>
      <c r="D33" s="84">
        <f t="shared" si="9"/>
        <v>93.60172537742632</v>
      </c>
      <c r="E33" s="84">
        <f t="shared" si="1"/>
        <v>111.2209015719998</v>
      </c>
      <c r="F33" s="84">
        <f t="shared" si="9"/>
        <v>113.7528523784448</v>
      </c>
      <c r="G33" s="84">
        <f t="shared" si="9"/>
        <v>128.26003502963121</v>
      </c>
    </row>
    <row r="34" spans="1:7" x14ac:dyDescent="0.25">
      <c r="A34" s="30">
        <v>2020</v>
      </c>
      <c r="B34" s="84">
        <f t="shared" ref="B34:G34" si="10">B$24*B15/B$5</f>
        <v>113.95147313691508</v>
      </c>
      <c r="C34" s="84">
        <f t="shared" si="10"/>
        <v>94.644424934152767</v>
      </c>
      <c r="D34" s="84">
        <f t="shared" si="10"/>
        <v>77.929547088425593</v>
      </c>
      <c r="E34" s="84">
        <f t="shared" si="1"/>
        <v>114.90168154680399</v>
      </c>
      <c r="F34" s="84">
        <f t="shared" si="10"/>
        <v>116.63265753905566</v>
      </c>
      <c r="G34" s="84">
        <f t="shared" si="10"/>
        <v>131.9345473739773</v>
      </c>
    </row>
    <row r="35" spans="1:7" x14ac:dyDescent="0.25">
      <c r="A35" s="30">
        <v>2021</v>
      </c>
      <c r="B35" s="84">
        <f t="shared" ref="B35:G35" si="11">B$24*B16/B$5</f>
        <v>118.37088388214906</v>
      </c>
      <c r="C35" s="84">
        <f t="shared" si="11"/>
        <v>106.93590869183494</v>
      </c>
      <c r="D35" s="84">
        <f t="shared" si="11"/>
        <v>108.1236520488857</v>
      </c>
      <c r="E35" s="84">
        <f t="shared" si="1"/>
        <v>118.48496467108508</v>
      </c>
      <c r="F35" s="84">
        <f t="shared" si="11"/>
        <v>120.01382306477093</v>
      </c>
      <c r="G35" s="84">
        <f t="shared" si="11"/>
        <v>135.25276518150628</v>
      </c>
    </row>
    <row r="36" spans="1:7" x14ac:dyDescent="0.25">
      <c r="A36" s="30">
        <v>2022</v>
      </c>
      <c r="B36" s="84">
        <f t="shared" ref="B36:G36" si="12">B$24*B17/B$5</f>
        <v>130.32928942807627</v>
      </c>
      <c r="C36" s="84">
        <f t="shared" si="12"/>
        <v>129.49956101843722</v>
      </c>
      <c r="D36" s="84">
        <f t="shared" si="12"/>
        <v>142.02012940330698</v>
      </c>
      <c r="E36" s="84">
        <f t="shared" si="1"/>
        <v>130.70931697431121</v>
      </c>
      <c r="F36" s="84">
        <f t="shared" si="12"/>
        <v>122.90021063717747</v>
      </c>
      <c r="G36" s="84">
        <f t="shared" si="12"/>
        <v>143.17402048993495</v>
      </c>
    </row>
    <row r="37" spans="1:7" x14ac:dyDescent="0.25">
      <c r="A37" s="30">
        <v>2023</v>
      </c>
      <c r="B37" s="84">
        <f t="shared" ref="B37:G37" si="13">B$24*B18/B$5</f>
        <v>138.64818024263434</v>
      </c>
      <c r="C37" s="84">
        <f t="shared" si="13"/>
        <v>135.20632133450394</v>
      </c>
      <c r="D37" s="84">
        <f t="shared" si="13"/>
        <v>126.49173256649894</v>
      </c>
      <c r="E37" s="84">
        <f t="shared" si="1"/>
        <v>137.2930930601961</v>
      </c>
      <c r="F37" s="84">
        <f t="shared" si="13"/>
        <v>125.77891872915569</v>
      </c>
      <c r="G37" s="84">
        <f t="shared" si="13"/>
        <v>154.02480865663762</v>
      </c>
    </row>
    <row r="38" spans="1:7" x14ac:dyDescent="0.25">
      <c r="A38" s="30">
        <v>2024</v>
      </c>
      <c r="B38" s="84">
        <f t="shared" ref="B38:G39" si="14">B$24*B19/B$5</f>
        <v>142.80762564991335</v>
      </c>
      <c r="C38" s="84">
        <f t="shared" si="14"/>
        <v>127.3046532045654</v>
      </c>
      <c r="D38" s="84">
        <f t="shared" si="14"/>
        <v>118.76347951114305</v>
      </c>
      <c r="E38" s="84">
        <f t="shared" si="1"/>
        <v>139.07651859560718</v>
      </c>
      <c r="F38" s="84">
        <f t="shared" si="14"/>
        <v>129.23358785325613</v>
      </c>
      <c r="G38" s="84">
        <f t="shared" si="14"/>
        <v>162.33114997960604</v>
      </c>
    </row>
    <row r="39" spans="1:7" x14ac:dyDescent="0.25">
      <c r="A39" s="30">
        <v>2025</v>
      </c>
      <c r="B39" s="84">
        <f t="shared" si="14"/>
        <v>149.91334488734836</v>
      </c>
      <c r="C39" s="84">
        <f t="shared" si="14"/>
        <v>134.67954345917471</v>
      </c>
      <c r="D39" s="84">
        <f t="shared" si="14"/>
        <v>111.32278936017254</v>
      </c>
      <c r="E39" s="84">
        <f t="shared" si="1"/>
        <v>141.75384783918497</v>
      </c>
      <c r="F39" s="84">
        <f t="shared" si="14"/>
        <v>132.70581007547833</v>
      </c>
      <c r="G39" s="84">
        <f t="shared" si="14"/>
        <v>168.68566904196356</v>
      </c>
    </row>
    <row r="40" spans="1:7" x14ac:dyDescent="0.25">
      <c r="A40" s="30"/>
      <c r="B40" s="84"/>
      <c r="C40" s="84"/>
      <c r="D40" s="84"/>
      <c r="E40" s="84"/>
      <c r="F40" s="84"/>
      <c r="G40" s="84"/>
    </row>
    <row r="41" spans="1:7" x14ac:dyDescent="0.25">
      <c r="D41" s="25"/>
      <c r="E41" s="25"/>
      <c r="F41" s="25"/>
      <c r="G41" s="25"/>
    </row>
    <row r="42" spans="1:7" x14ac:dyDescent="0.25">
      <c r="A42" t="s">
        <v>276</v>
      </c>
      <c r="D42" s="25"/>
      <c r="E42" s="25"/>
      <c r="F42" s="25"/>
      <c r="G42" s="25"/>
    </row>
    <row r="43" spans="1:7" x14ac:dyDescent="0.25">
      <c r="A43" s="29" t="s">
        <v>158</v>
      </c>
      <c r="B43" s="27" t="s">
        <v>270</v>
      </c>
      <c r="C43" s="83" t="s">
        <v>271</v>
      </c>
      <c r="D43" s="27" t="s">
        <v>272</v>
      </c>
      <c r="E43" s="27" t="s">
        <v>273</v>
      </c>
      <c r="F43" s="27" t="s">
        <v>274</v>
      </c>
      <c r="G43" s="27" t="s">
        <v>275</v>
      </c>
    </row>
    <row r="44" spans="1:7" x14ac:dyDescent="0.25">
      <c r="A44" s="30">
        <v>2019</v>
      </c>
      <c r="B44" s="25">
        <v>100</v>
      </c>
      <c r="C44" s="25">
        <v>100</v>
      </c>
      <c r="D44" s="25">
        <v>100</v>
      </c>
      <c r="E44" s="25">
        <v>100</v>
      </c>
      <c r="F44" s="25">
        <v>100</v>
      </c>
      <c r="G44" s="25">
        <v>100</v>
      </c>
    </row>
    <row r="45" spans="1:7" x14ac:dyDescent="0.25">
      <c r="A45" s="30">
        <v>2020</v>
      </c>
      <c r="B45" s="84">
        <f>B$44*B15/B$14</f>
        <v>101.076095311299</v>
      </c>
      <c r="C45" s="84">
        <f t="shared" ref="C45:G45" si="15">C$44*C15/C$14</f>
        <v>102.56898192197907</v>
      </c>
      <c r="D45" s="84">
        <f t="shared" si="15"/>
        <v>83.256528417818743</v>
      </c>
      <c r="E45" s="84">
        <f t="shared" ref="E45:E50" si="16">E$44*E15/E$14</f>
        <v>103.30943188086046</v>
      </c>
      <c r="F45" s="84">
        <f t="shared" si="15"/>
        <v>102.53163336162334</v>
      </c>
      <c r="G45" s="84">
        <f t="shared" si="15"/>
        <v>102.86489267174858</v>
      </c>
    </row>
    <row r="46" spans="1:7" x14ac:dyDescent="0.25">
      <c r="A46" s="30">
        <v>2021</v>
      </c>
      <c r="B46" s="84">
        <f t="shared" ref="B46:G46" si="17">B$44*B16/B$14</f>
        <v>104.99615680245965</v>
      </c>
      <c r="C46" s="84">
        <f t="shared" si="17"/>
        <v>115.88962892483349</v>
      </c>
      <c r="D46" s="84">
        <f t="shared" si="17"/>
        <v>115.51459293394777</v>
      </c>
      <c r="E46" s="84">
        <f t="shared" si="16"/>
        <v>106.5312032148767</v>
      </c>
      <c r="F46" s="84">
        <f t="shared" si="17"/>
        <v>105.50401203610832</v>
      </c>
      <c r="G46" s="84">
        <f t="shared" si="17"/>
        <v>105.45199457512976</v>
      </c>
    </row>
    <row r="47" spans="1:7" x14ac:dyDescent="0.25">
      <c r="A47" s="30">
        <v>2022</v>
      </c>
      <c r="B47" s="84">
        <f t="shared" ref="B47:G47" si="18">B$44*B17/B$14</f>
        <v>115.60338201383551</v>
      </c>
      <c r="C47" s="84">
        <f t="shared" si="18"/>
        <v>140.34253092293054</v>
      </c>
      <c r="D47" s="84">
        <f t="shared" si="18"/>
        <v>151.72811059907835</v>
      </c>
      <c r="E47" s="84">
        <f t="shared" si="16"/>
        <v>117.52225986919863</v>
      </c>
      <c r="F47" s="84">
        <f t="shared" si="18"/>
        <v>108.04143198827251</v>
      </c>
      <c r="G47" s="84">
        <f t="shared" si="18"/>
        <v>111.62792872842911</v>
      </c>
    </row>
    <row r="48" spans="1:7" x14ac:dyDescent="0.25">
      <c r="A48" s="30">
        <v>2023</v>
      </c>
      <c r="B48" s="84">
        <f t="shared" ref="B48:G48" si="19">B$44*B18/B$14</f>
        <v>122.98232129131438</v>
      </c>
      <c r="C48" s="84">
        <f t="shared" si="19"/>
        <v>146.52711703139866</v>
      </c>
      <c r="D48" s="84">
        <f t="shared" si="19"/>
        <v>135.13824884792626</v>
      </c>
      <c r="E48" s="84">
        <f t="shared" si="16"/>
        <v>123.44180915609488</v>
      </c>
      <c r="F48" s="84">
        <f t="shared" si="19"/>
        <v>110.57210091813903</v>
      </c>
      <c r="G48" s="84">
        <f t="shared" si="19"/>
        <v>120.08792031052704</v>
      </c>
    </row>
    <row r="49" spans="1:7" x14ac:dyDescent="0.25">
      <c r="A49" s="30">
        <v>2024</v>
      </c>
      <c r="B49" s="84">
        <f t="shared" ref="B49:G49" si="20">B$44*B19/B$14</f>
        <v>126.6717909300538</v>
      </c>
      <c r="C49" s="84">
        <f t="shared" si="20"/>
        <v>137.9638439581351</v>
      </c>
      <c r="D49" s="84">
        <f t="shared" si="20"/>
        <v>126.88172043010751</v>
      </c>
      <c r="E49" s="84">
        <f t="shared" si="16"/>
        <v>125.04530769836892</v>
      </c>
      <c r="F49" s="84">
        <f t="shared" si="20"/>
        <v>113.60909652033023</v>
      </c>
      <c r="G49" s="84">
        <f t="shared" si="20"/>
        <v>126.56409297105176</v>
      </c>
    </row>
    <row r="50" spans="1:7" x14ac:dyDescent="0.25">
      <c r="A50" s="30">
        <v>2025</v>
      </c>
      <c r="B50" s="84">
        <f t="shared" ref="B50:G50" si="21">B$44*B20/B$14</f>
        <v>132.97463489623368</v>
      </c>
      <c r="C50" s="84">
        <f t="shared" si="21"/>
        <v>145.95623215984776</v>
      </c>
      <c r="D50" s="84">
        <f t="shared" si="21"/>
        <v>118.93241167434715</v>
      </c>
      <c r="E50" s="84">
        <f t="shared" si="16"/>
        <v>127.45252541170908</v>
      </c>
      <c r="F50" s="84">
        <f t="shared" si="21"/>
        <v>116.66152303063035</v>
      </c>
      <c r="G50" s="84">
        <f t="shared" si="21"/>
        <v>131.51849600149649</v>
      </c>
    </row>
    <row r="51" spans="1:7" x14ac:dyDescent="0.25">
      <c r="A51" s="30"/>
      <c r="B51" s="84"/>
      <c r="C51" s="84"/>
      <c r="D51" s="84"/>
      <c r="E51" s="84"/>
      <c r="F51" s="84"/>
      <c r="G51" s="84"/>
    </row>
    <row r="53" spans="1:7" x14ac:dyDescent="0.25">
      <c r="A53" t="s">
        <v>197</v>
      </c>
      <c r="B53" s="28" t="s">
        <v>270</v>
      </c>
    </row>
    <row r="54" spans="1:7" x14ac:dyDescent="0.25">
      <c r="B54" s="28" t="s">
        <v>246</v>
      </c>
    </row>
    <row r="55" spans="1:7" x14ac:dyDescent="0.25">
      <c r="B55" s="28" t="s">
        <v>247</v>
      </c>
    </row>
    <row r="56" spans="1:7" x14ac:dyDescent="0.25">
      <c r="B56" s="28"/>
    </row>
    <row r="57" spans="1:7" x14ac:dyDescent="0.25">
      <c r="B57" s="28" t="s">
        <v>277</v>
      </c>
    </row>
    <row r="58" spans="1:7" x14ac:dyDescent="0.25">
      <c r="B58" s="28" t="s">
        <v>278</v>
      </c>
    </row>
    <row r="59" spans="1:7" x14ac:dyDescent="0.25">
      <c r="B59" s="28"/>
    </row>
    <row r="60" spans="1:7" x14ac:dyDescent="0.25">
      <c r="B60" s="28" t="s">
        <v>272</v>
      </c>
    </row>
    <row r="61" spans="1:7" x14ac:dyDescent="0.25">
      <c r="B61" s="28" t="s">
        <v>279</v>
      </c>
    </row>
    <row r="62" spans="1:7" x14ac:dyDescent="0.25">
      <c r="B62" s="28"/>
    </row>
    <row r="63" spans="1:7" x14ac:dyDescent="0.25">
      <c r="B63" s="28" t="s">
        <v>280</v>
      </c>
    </row>
    <row r="64" spans="1:7" x14ac:dyDescent="0.25">
      <c r="B64" s="28" t="s">
        <v>281</v>
      </c>
    </row>
    <row r="65" spans="1:2" x14ac:dyDescent="0.25">
      <c r="B65" s="28"/>
    </row>
    <row r="66" spans="1:2" x14ac:dyDescent="0.25">
      <c r="A66" t="s">
        <v>205</v>
      </c>
      <c r="B66" s="28" t="s">
        <v>282</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80CC1-9C8A-450A-8B6D-10145E012CBB}">
  <sheetPr>
    <tabColor rgb="FFFFFF00"/>
  </sheetPr>
  <dimension ref="A1:H49"/>
  <sheetViews>
    <sheetView workbookViewId="0">
      <selection activeCell="B14" sqref="B14:B16"/>
    </sheetView>
  </sheetViews>
  <sheetFormatPr defaultRowHeight="15" x14ac:dyDescent="0.25"/>
  <cols>
    <col min="1" max="1" width="11.85546875" style="25" customWidth="1"/>
    <col min="2" max="2" width="22.42578125" style="54" customWidth="1"/>
    <col min="3" max="3" width="16.5703125" style="25" customWidth="1"/>
    <col min="4" max="5" width="11.85546875" customWidth="1"/>
    <col min="6" max="6" width="11.5703125" style="25" customWidth="1"/>
  </cols>
  <sheetData>
    <row r="1" spans="1:8" x14ac:dyDescent="0.25">
      <c r="A1" s="59" t="s">
        <v>143</v>
      </c>
      <c r="B1" s="126"/>
    </row>
    <row r="2" spans="1:8" x14ac:dyDescent="0.25">
      <c r="A2" s="28" t="s">
        <v>1155</v>
      </c>
      <c r="B2" s="125"/>
      <c r="D2" s="31"/>
    </row>
    <row r="3" spans="1:8" x14ac:dyDescent="0.25">
      <c r="A3" s="59"/>
      <c r="F3"/>
    </row>
    <row r="4" spans="1:8" ht="30.75" customHeight="1" x14ac:dyDescent="0.25">
      <c r="A4" s="53" t="s">
        <v>158</v>
      </c>
      <c r="B4" s="43" t="s">
        <v>1156</v>
      </c>
      <c r="C4" s="43" t="s">
        <v>1157</v>
      </c>
      <c r="D4" s="54"/>
      <c r="E4" s="54"/>
      <c r="F4" s="54"/>
      <c r="G4" s="54"/>
      <c r="H4" s="54"/>
    </row>
    <row r="5" spans="1:8" x14ac:dyDescent="0.25">
      <c r="A5" s="30" t="s">
        <v>1158</v>
      </c>
      <c r="B5" s="163">
        <v>0.445110489855506</v>
      </c>
      <c r="C5" s="85">
        <v>15.8062246984579</v>
      </c>
      <c r="D5" s="88"/>
      <c r="E5" s="61"/>
    </row>
    <row r="6" spans="1:8" x14ac:dyDescent="0.25">
      <c r="A6" s="30" t="s">
        <v>1159</v>
      </c>
      <c r="B6" s="164">
        <v>0.51026953635236705</v>
      </c>
      <c r="C6" s="85">
        <v>44.032071478112897</v>
      </c>
      <c r="D6" s="88"/>
      <c r="E6" s="61"/>
    </row>
    <row r="7" spans="1:8" x14ac:dyDescent="0.25">
      <c r="A7" s="30" t="s">
        <v>1160</v>
      </c>
      <c r="B7" s="164">
        <v>0.55778361416864197</v>
      </c>
      <c r="C7" s="85">
        <v>36.3625195796307</v>
      </c>
      <c r="D7" s="88"/>
      <c r="E7" s="61"/>
    </row>
    <row r="8" spans="1:8" x14ac:dyDescent="0.25">
      <c r="A8" s="30" t="s">
        <v>1161</v>
      </c>
      <c r="B8" s="164">
        <v>0.51687547045793902</v>
      </c>
      <c r="C8" s="85">
        <v>32.495971184265798</v>
      </c>
      <c r="D8" s="88"/>
      <c r="E8" s="61"/>
    </row>
    <row r="9" spans="1:8" x14ac:dyDescent="0.25">
      <c r="A9" s="30" t="s">
        <v>1162</v>
      </c>
      <c r="B9" s="164">
        <v>0.64348541534120896</v>
      </c>
      <c r="C9" s="85">
        <v>67.622767778477197</v>
      </c>
      <c r="D9" s="88"/>
      <c r="E9" s="61"/>
    </row>
    <row r="10" spans="1:8" x14ac:dyDescent="0.25">
      <c r="B10" s="88"/>
      <c r="C10" s="26"/>
      <c r="D10" s="88"/>
      <c r="E10" s="61"/>
    </row>
    <row r="11" spans="1:8" x14ac:dyDescent="0.25">
      <c r="B11" s="88"/>
      <c r="C11" s="26"/>
      <c r="D11" s="88"/>
      <c r="E11" s="61"/>
    </row>
    <row r="12" spans="1:8" x14ac:dyDescent="0.25">
      <c r="A12" s="127" t="s">
        <v>197</v>
      </c>
      <c r="B12" s="127" t="s">
        <v>1150</v>
      </c>
      <c r="C12" s="44"/>
      <c r="D12" s="88"/>
      <c r="E12" s="61"/>
    </row>
    <row r="13" spans="1:8" x14ac:dyDescent="0.25">
      <c r="A13" s="127"/>
      <c r="B13" s="127"/>
      <c r="C13" s="44"/>
      <c r="D13" s="88"/>
      <c r="E13" s="61"/>
    </row>
    <row r="14" spans="1:8" x14ac:dyDescent="0.25">
      <c r="A14" s="127" t="s">
        <v>205</v>
      </c>
      <c r="B14" s="127" t="s">
        <v>1163</v>
      </c>
      <c r="C14" s="44"/>
      <c r="D14" s="88"/>
      <c r="E14" s="61"/>
    </row>
    <row r="15" spans="1:8" x14ac:dyDescent="0.25">
      <c r="A15" s="127"/>
      <c r="B15" s="127" t="s">
        <v>1164</v>
      </c>
      <c r="C15" s="44"/>
      <c r="D15" s="88"/>
      <c r="E15" s="61"/>
    </row>
    <row r="16" spans="1:8" s="25" customFormat="1" x14ac:dyDescent="0.25">
      <c r="A16" s="127"/>
      <c r="B16" s="127" t="s">
        <v>1153</v>
      </c>
      <c r="C16" s="44"/>
      <c r="D16" s="88"/>
      <c r="E16" s="61"/>
      <c r="G16"/>
      <c r="H16"/>
    </row>
    <row r="17" spans="1:8" s="25" customFormat="1" x14ac:dyDescent="0.25">
      <c r="A17" s="127"/>
      <c r="B17" s="127"/>
      <c r="C17" s="44"/>
      <c r="D17" s="88"/>
      <c r="E17" s="61"/>
      <c r="G17"/>
      <c r="H17"/>
    </row>
    <row r="18" spans="1:8" s="25" customFormat="1" x14ac:dyDescent="0.25">
      <c r="B18" s="88"/>
      <c r="C18" s="44"/>
      <c r="D18" s="88"/>
      <c r="E18" s="61"/>
      <c r="G18"/>
      <c r="H18"/>
    </row>
    <row r="19" spans="1:8" s="25" customFormat="1" x14ac:dyDescent="0.25">
      <c r="B19" s="88"/>
      <c r="C19" s="44"/>
      <c r="D19" s="88"/>
      <c r="E19" s="61"/>
      <c r="G19"/>
      <c r="H19"/>
    </row>
    <row r="20" spans="1:8" s="25" customFormat="1" x14ac:dyDescent="0.25">
      <c r="B20" s="88"/>
      <c r="C20" s="44"/>
      <c r="D20" s="88"/>
      <c r="E20" s="61"/>
      <c r="G20"/>
      <c r="H20"/>
    </row>
    <row r="21" spans="1:8" s="25" customFormat="1" x14ac:dyDescent="0.25">
      <c r="B21" s="88"/>
      <c r="C21" s="44"/>
      <c r="D21" s="88"/>
      <c r="E21" s="61"/>
      <c r="G21"/>
      <c r="H21"/>
    </row>
    <row r="22" spans="1:8" s="25" customFormat="1" x14ac:dyDescent="0.25">
      <c r="B22" s="88"/>
      <c r="C22" s="44"/>
      <c r="D22" s="88"/>
      <c r="E22" s="61"/>
      <c r="G22"/>
      <c r="H22"/>
    </row>
    <row r="23" spans="1:8" s="25" customFormat="1" x14ac:dyDescent="0.25">
      <c r="B23" s="88"/>
      <c r="C23" s="44"/>
      <c r="D23" s="88"/>
      <c r="E23" s="61"/>
      <c r="G23"/>
      <c r="H23"/>
    </row>
    <row r="24" spans="1:8" s="25" customFormat="1" x14ac:dyDescent="0.25">
      <c r="B24" s="88"/>
      <c r="C24" s="44"/>
      <c r="D24" s="88"/>
      <c r="E24" s="61"/>
      <c r="G24"/>
      <c r="H24"/>
    </row>
    <row r="25" spans="1:8" s="25" customFormat="1" x14ac:dyDescent="0.25">
      <c r="B25" s="88"/>
      <c r="C25" s="44"/>
      <c r="D25" s="88"/>
      <c r="E25" s="61"/>
      <c r="G25"/>
      <c r="H25"/>
    </row>
    <row r="26" spans="1:8" s="25" customFormat="1" x14ac:dyDescent="0.25">
      <c r="B26" s="88"/>
      <c r="C26" s="44"/>
      <c r="D26" s="88"/>
      <c r="E26" s="61"/>
      <c r="G26"/>
      <c r="H26"/>
    </row>
    <row r="27" spans="1:8" s="25" customFormat="1" x14ac:dyDescent="0.25">
      <c r="B27" s="88"/>
      <c r="C27" s="44"/>
      <c r="D27" s="88"/>
      <c r="E27" s="61"/>
      <c r="G27"/>
      <c r="H27"/>
    </row>
    <row r="28" spans="1:8" s="25" customFormat="1" x14ac:dyDescent="0.25">
      <c r="B28" s="88"/>
      <c r="C28" s="44"/>
      <c r="D28" s="88"/>
      <c r="E28" s="61"/>
      <c r="G28"/>
      <c r="H28"/>
    </row>
    <row r="29" spans="1:8" s="25" customFormat="1" x14ac:dyDescent="0.25">
      <c r="B29" s="88"/>
      <c r="C29" s="44"/>
      <c r="D29" s="88"/>
      <c r="E29" s="61"/>
      <c r="G29"/>
      <c r="H29"/>
    </row>
    <row r="30" spans="1:8" s="25" customFormat="1" x14ac:dyDescent="0.25">
      <c r="B30" s="88"/>
      <c r="C30" s="44"/>
      <c r="D30" s="88"/>
      <c r="E30" s="61"/>
      <c r="G30"/>
      <c r="H30"/>
    </row>
    <row r="31" spans="1:8" s="25" customFormat="1" x14ac:dyDescent="0.25">
      <c r="B31" s="88"/>
      <c r="C31" s="44"/>
      <c r="D31" s="88"/>
      <c r="E31" s="61"/>
      <c r="G31"/>
      <c r="H31"/>
    </row>
    <row r="32" spans="1:8" s="25" customFormat="1" x14ac:dyDescent="0.25">
      <c r="B32" s="88"/>
      <c r="C32" s="44"/>
      <c r="D32" s="88"/>
      <c r="E32" s="61"/>
      <c r="G32"/>
      <c r="H32"/>
    </row>
    <row r="33" spans="1:8" s="25" customFormat="1" x14ac:dyDescent="0.25">
      <c r="B33" s="88"/>
      <c r="C33" s="44"/>
      <c r="D33" s="88"/>
      <c r="E33" s="61"/>
      <c r="G33"/>
      <c r="H33"/>
    </row>
    <row r="34" spans="1:8" s="25" customFormat="1" x14ac:dyDescent="0.25">
      <c r="B34" s="88"/>
      <c r="C34" s="44"/>
      <c r="D34" s="88"/>
      <c r="E34" s="61"/>
      <c r="G34"/>
      <c r="H34"/>
    </row>
    <row r="35" spans="1:8" s="25" customFormat="1" x14ac:dyDescent="0.25">
      <c r="B35" s="88"/>
      <c r="C35" s="44"/>
      <c r="D35" s="88"/>
      <c r="E35" s="61"/>
      <c r="G35"/>
      <c r="H35"/>
    </row>
    <row r="36" spans="1:8" s="25" customFormat="1" x14ac:dyDescent="0.25">
      <c r="B36" s="88"/>
      <c r="C36" s="44"/>
      <c r="D36" s="88"/>
      <c r="E36" s="61"/>
      <c r="G36"/>
      <c r="H36"/>
    </row>
    <row r="37" spans="1:8" s="25" customFormat="1" x14ac:dyDescent="0.25">
      <c r="B37" s="88"/>
      <c r="C37" s="44"/>
      <c r="D37" s="88"/>
      <c r="E37" s="61"/>
      <c r="G37"/>
      <c r="H37"/>
    </row>
    <row r="38" spans="1:8" s="25" customFormat="1" x14ac:dyDescent="0.25">
      <c r="B38" s="88"/>
      <c r="C38" s="44"/>
      <c r="D38" s="88"/>
      <c r="E38" s="61"/>
      <c r="G38"/>
      <c r="H38"/>
    </row>
    <row r="41" spans="1:8" s="25" customFormat="1" x14ac:dyDescent="0.25">
      <c r="B41" s="54"/>
      <c r="D41"/>
      <c r="E41"/>
      <c r="G41"/>
      <c r="H41"/>
    </row>
    <row r="42" spans="1:8" s="25" customFormat="1" x14ac:dyDescent="0.25">
      <c r="B42" s="54"/>
      <c r="D42"/>
      <c r="E42"/>
      <c r="G42"/>
      <c r="H42"/>
    </row>
    <row r="43" spans="1:8" s="25" customFormat="1" x14ac:dyDescent="0.25">
      <c r="B43" s="54"/>
      <c r="D43"/>
      <c r="E43"/>
      <c r="G43"/>
      <c r="H43"/>
    </row>
    <row r="44" spans="1:8" s="25" customFormat="1" x14ac:dyDescent="0.25">
      <c r="B44" s="54"/>
      <c r="D44"/>
      <c r="E44"/>
      <c r="G44"/>
      <c r="H44"/>
    </row>
    <row r="45" spans="1:8" s="25" customFormat="1" x14ac:dyDescent="0.25">
      <c r="B45" s="54"/>
      <c r="D45"/>
      <c r="E45"/>
      <c r="G45"/>
      <c r="H45"/>
    </row>
    <row r="46" spans="1:8" s="25" customFormat="1" x14ac:dyDescent="0.25">
      <c r="B46" s="54"/>
      <c r="D46"/>
      <c r="E46"/>
      <c r="G46"/>
      <c r="H46"/>
    </row>
    <row r="47" spans="1:8" s="25" customFormat="1" x14ac:dyDescent="0.25">
      <c r="A47" s="127"/>
      <c r="B47" s="54"/>
      <c r="D47"/>
      <c r="E47"/>
      <c r="G47"/>
      <c r="H47"/>
    </row>
    <row r="48" spans="1:8" s="25" customFormat="1" x14ac:dyDescent="0.25">
      <c r="A48" s="28"/>
      <c r="B48" s="54"/>
      <c r="D48"/>
      <c r="E48"/>
      <c r="G48"/>
      <c r="H48"/>
    </row>
    <row r="49" spans="1:8" s="25" customFormat="1" x14ac:dyDescent="0.25">
      <c r="A49" s="28"/>
      <c r="B49" s="125"/>
      <c r="D49"/>
      <c r="E49"/>
      <c r="G49"/>
      <c r="H49"/>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A1E78-B16E-48FF-B1D5-E59D436713C4}">
  <sheetPr>
    <tabColor rgb="FFFFFF00"/>
  </sheetPr>
  <dimension ref="A1:J48"/>
  <sheetViews>
    <sheetView workbookViewId="0">
      <selection activeCell="B13" sqref="B13:B15"/>
    </sheetView>
  </sheetViews>
  <sheetFormatPr defaultRowHeight="15" x14ac:dyDescent="0.25"/>
  <cols>
    <col min="1" max="1" width="21.5703125" style="25" customWidth="1"/>
    <col min="2" max="2" width="10.5703125" style="54" customWidth="1"/>
    <col min="3" max="3" width="10.5703125" style="25" customWidth="1"/>
    <col min="4" max="5" width="10.5703125" customWidth="1"/>
    <col min="6" max="6" width="10.5703125" style="25" customWidth="1"/>
    <col min="7" max="10" width="10.5703125" customWidth="1"/>
  </cols>
  <sheetData>
    <row r="1" spans="1:10" x14ac:dyDescent="0.25">
      <c r="A1" s="59" t="s">
        <v>145</v>
      </c>
      <c r="B1" s="126"/>
    </row>
    <row r="2" spans="1:10" x14ac:dyDescent="0.25">
      <c r="A2" s="28" t="s">
        <v>1165</v>
      </c>
      <c r="B2" s="125"/>
      <c r="D2" s="31"/>
    </row>
    <row r="3" spans="1:10" x14ac:dyDescent="0.25">
      <c r="A3" s="59"/>
      <c r="F3"/>
    </row>
    <row r="4" spans="1:10" ht="30.75" customHeight="1" x14ac:dyDescent="0.25">
      <c r="A4" s="53" t="s">
        <v>1166</v>
      </c>
      <c r="B4" s="43" t="s">
        <v>474</v>
      </c>
      <c r="C4" s="43" t="s">
        <v>475</v>
      </c>
      <c r="D4" s="43" t="s">
        <v>480</v>
      </c>
      <c r="E4" s="43" t="s">
        <v>476</v>
      </c>
      <c r="F4" s="43" t="s">
        <v>479</v>
      </c>
      <c r="G4" s="43" t="s">
        <v>478</v>
      </c>
      <c r="H4" s="43" t="s">
        <v>529</v>
      </c>
      <c r="I4" s="43" t="s">
        <v>477</v>
      </c>
      <c r="J4" s="43" t="s">
        <v>1167</v>
      </c>
    </row>
    <row r="5" spans="1:10" x14ac:dyDescent="0.25">
      <c r="A5" s="30" t="s">
        <v>1168</v>
      </c>
      <c r="B5" s="163">
        <v>0.43382221356345002</v>
      </c>
      <c r="C5" s="52">
        <v>0.14164011342313501</v>
      </c>
      <c r="D5" s="170">
        <v>0.46665513766322603</v>
      </c>
      <c r="E5" s="170">
        <v>0.52735189929873405</v>
      </c>
      <c r="F5" s="80">
        <v>0.42534458946000903</v>
      </c>
      <c r="G5" s="80">
        <v>0.51271961408030498</v>
      </c>
      <c r="H5" s="80">
        <v>0.39114355102223403</v>
      </c>
      <c r="I5" s="80">
        <v>0.45768613262461699</v>
      </c>
      <c r="J5" s="80">
        <v>0.61463702456977198</v>
      </c>
    </row>
    <row r="6" spans="1:10" x14ac:dyDescent="0.25">
      <c r="A6" s="30" t="s">
        <v>1169</v>
      </c>
      <c r="B6" s="164">
        <v>0.38042564266075901</v>
      </c>
      <c r="C6" s="52">
        <v>0.46248387753650999</v>
      </c>
      <c r="D6" s="170">
        <v>0.63014156923098497</v>
      </c>
      <c r="E6" s="170">
        <v>0.59474700320407703</v>
      </c>
      <c r="F6" s="80">
        <v>0.24005254677603499</v>
      </c>
      <c r="G6" s="80">
        <v>0.58640508198073305</v>
      </c>
      <c r="H6" s="80">
        <v>0.63487149336564896</v>
      </c>
      <c r="I6" s="80">
        <v>0.46181403414130001</v>
      </c>
      <c r="J6" s="80">
        <v>0.54249100374677095</v>
      </c>
    </row>
    <row r="7" spans="1:10" x14ac:dyDescent="0.25">
      <c r="A7" s="30" t="s">
        <v>1162</v>
      </c>
      <c r="B7" s="164">
        <v>0.58344158941927504</v>
      </c>
      <c r="C7" s="52">
        <v>0.33430776888302599</v>
      </c>
      <c r="D7" s="170">
        <v>0.76489963182176801</v>
      </c>
      <c r="E7" s="170">
        <v>0.65810806956364098</v>
      </c>
      <c r="F7" s="80">
        <v>0.46827318016386299</v>
      </c>
      <c r="G7" s="80">
        <v>0.68392522321101901</v>
      </c>
      <c r="H7" s="80">
        <v>0.75259643777637697</v>
      </c>
      <c r="I7" s="80">
        <v>0.49980056358521002</v>
      </c>
      <c r="J7" s="80">
        <v>0.60045979757183099</v>
      </c>
    </row>
    <row r="8" spans="1:10" x14ac:dyDescent="0.25">
      <c r="A8" s="30"/>
      <c r="B8" s="153"/>
      <c r="C8" s="49"/>
      <c r="D8" s="108"/>
      <c r="E8" s="108"/>
      <c r="F8" s="81"/>
      <c r="G8" s="81"/>
      <c r="H8" s="81"/>
      <c r="I8" s="81"/>
      <c r="J8" s="81"/>
    </row>
    <row r="9" spans="1:10" ht="30" customHeight="1" x14ac:dyDescent="0.25">
      <c r="A9" s="165" t="s">
        <v>1170</v>
      </c>
      <c r="B9" s="166">
        <v>26.91338066818756</v>
      </c>
      <c r="C9" s="167">
        <v>3.7498847257935224</v>
      </c>
      <c r="D9" s="168">
        <v>6.1801710330229094</v>
      </c>
      <c r="E9" s="168">
        <v>39.0076166782844</v>
      </c>
      <c r="F9" s="169">
        <v>12.68588986375263</v>
      </c>
      <c r="G9" s="169">
        <v>36.518017498291769</v>
      </c>
      <c r="H9" s="169">
        <v>32.052565792381102</v>
      </c>
      <c r="I9" s="169">
        <v>11.186358201324591</v>
      </c>
      <c r="J9" s="169">
        <v>28.025670257905926</v>
      </c>
    </row>
    <row r="10" spans="1:10" x14ac:dyDescent="0.25">
      <c r="B10" s="88"/>
      <c r="C10" s="26"/>
      <c r="D10" s="88"/>
      <c r="E10" s="61"/>
    </row>
    <row r="11" spans="1:10" x14ac:dyDescent="0.25">
      <c r="A11" s="127" t="s">
        <v>197</v>
      </c>
      <c r="B11" s="127" t="s">
        <v>1150</v>
      </c>
      <c r="C11" s="44"/>
      <c r="D11" s="88"/>
      <c r="E11" s="61"/>
    </row>
    <row r="12" spans="1:10" x14ac:dyDescent="0.25">
      <c r="A12" s="127"/>
      <c r="B12" s="127"/>
      <c r="C12" s="44"/>
      <c r="D12" s="88"/>
      <c r="E12" s="61"/>
    </row>
    <row r="13" spans="1:10" x14ac:dyDescent="0.25">
      <c r="A13" s="127" t="s">
        <v>205</v>
      </c>
      <c r="B13" s="127" t="s">
        <v>1163</v>
      </c>
      <c r="C13" s="44"/>
      <c r="D13" s="88"/>
      <c r="E13" s="61"/>
    </row>
    <row r="14" spans="1:10" x14ac:dyDescent="0.25">
      <c r="A14" s="127"/>
      <c r="B14" s="127" t="s">
        <v>1164</v>
      </c>
      <c r="C14" s="44"/>
      <c r="D14" s="88"/>
      <c r="E14" s="61"/>
    </row>
    <row r="15" spans="1:10" s="25" customFormat="1" x14ac:dyDescent="0.25">
      <c r="A15" s="127"/>
      <c r="B15" s="127" t="s">
        <v>1153</v>
      </c>
      <c r="C15" s="44"/>
      <c r="D15" s="88"/>
      <c r="E15" s="61"/>
      <c r="G15"/>
      <c r="H15"/>
    </row>
    <row r="16" spans="1:10" s="25" customFormat="1" x14ac:dyDescent="0.25">
      <c r="A16" s="127"/>
      <c r="B16" s="127"/>
      <c r="C16" s="44"/>
      <c r="D16" s="88"/>
      <c r="E16" s="61"/>
      <c r="G16"/>
      <c r="H16"/>
    </row>
    <row r="17" spans="2:8" s="25" customFormat="1" x14ac:dyDescent="0.25">
      <c r="B17" s="88"/>
      <c r="C17" s="44"/>
      <c r="D17" s="88"/>
      <c r="E17" s="61"/>
      <c r="G17"/>
      <c r="H17"/>
    </row>
    <row r="18" spans="2:8" s="25" customFormat="1" x14ac:dyDescent="0.25">
      <c r="B18" s="88"/>
      <c r="C18" s="44"/>
      <c r="D18" s="88"/>
      <c r="E18" s="61"/>
      <c r="G18"/>
      <c r="H18"/>
    </row>
    <row r="19" spans="2:8" s="25" customFormat="1" x14ac:dyDescent="0.25">
      <c r="B19" s="88"/>
      <c r="C19" s="44"/>
      <c r="D19" s="88"/>
      <c r="E19" s="61"/>
      <c r="G19"/>
      <c r="H19"/>
    </row>
    <row r="20" spans="2:8" s="25" customFormat="1" x14ac:dyDescent="0.25">
      <c r="B20" s="88"/>
      <c r="C20" s="44"/>
      <c r="D20" s="88"/>
      <c r="E20" s="61"/>
      <c r="G20"/>
      <c r="H20"/>
    </row>
    <row r="21" spans="2:8" s="25" customFormat="1" x14ac:dyDescent="0.25">
      <c r="B21" s="88"/>
      <c r="C21" s="44"/>
      <c r="D21" s="88"/>
      <c r="E21" s="61"/>
      <c r="G21"/>
      <c r="H21"/>
    </row>
    <row r="22" spans="2:8" s="25" customFormat="1" x14ac:dyDescent="0.25">
      <c r="B22" s="88"/>
      <c r="C22" s="44"/>
      <c r="D22" s="88"/>
      <c r="E22" s="61"/>
      <c r="G22"/>
      <c r="H22"/>
    </row>
    <row r="23" spans="2:8" s="25" customFormat="1" x14ac:dyDescent="0.25">
      <c r="B23" s="88"/>
      <c r="C23" s="44"/>
      <c r="D23" s="88"/>
      <c r="E23" s="61"/>
      <c r="G23"/>
      <c r="H23"/>
    </row>
    <row r="24" spans="2:8" s="25" customFormat="1" x14ac:dyDescent="0.25">
      <c r="B24" s="88"/>
      <c r="C24" s="44"/>
      <c r="D24" s="88"/>
      <c r="E24" s="61"/>
      <c r="G24"/>
      <c r="H24"/>
    </row>
    <row r="25" spans="2:8" s="25" customFormat="1" x14ac:dyDescent="0.25">
      <c r="B25" s="88"/>
      <c r="C25" s="44"/>
      <c r="D25" s="88"/>
      <c r="E25" s="61"/>
      <c r="G25"/>
      <c r="H25"/>
    </row>
    <row r="26" spans="2:8" s="25" customFormat="1" x14ac:dyDescent="0.25">
      <c r="B26" s="88"/>
      <c r="C26" s="44"/>
      <c r="D26" s="88"/>
      <c r="E26" s="61"/>
      <c r="G26"/>
      <c r="H26"/>
    </row>
    <row r="27" spans="2:8" s="25" customFormat="1" x14ac:dyDescent="0.25">
      <c r="B27" s="88"/>
      <c r="C27" s="44"/>
      <c r="D27" s="88"/>
      <c r="E27" s="61"/>
      <c r="G27"/>
      <c r="H27"/>
    </row>
    <row r="28" spans="2:8" s="25" customFormat="1" x14ac:dyDescent="0.25">
      <c r="B28" s="88"/>
      <c r="C28" s="44"/>
      <c r="D28" s="88"/>
      <c r="E28" s="61"/>
      <c r="G28"/>
      <c r="H28"/>
    </row>
    <row r="29" spans="2:8" s="25" customFormat="1" x14ac:dyDescent="0.25">
      <c r="B29" s="88"/>
      <c r="C29" s="44"/>
      <c r="D29" s="88"/>
      <c r="E29" s="61"/>
      <c r="G29"/>
      <c r="H29"/>
    </row>
    <row r="30" spans="2:8" s="25" customFormat="1" x14ac:dyDescent="0.25">
      <c r="B30" s="88"/>
      <c r="C30" s="44"/>
      <c r="D30" s="88"/>
      <c r="E30" s="61"/>
      <c r="G30"/>
      <c r="H30"/>
    </row>
    <row r="31" spans="2:8" s="25" customFormat="1" x14ac:dyDescent="0.25">
      <c r="B31" s="88"/>
      <c r="C31" s="44"/>
      <c r="D31" s="88"/>
      <c r="E31" s="61"/>
      <c r="G31"/>
      <c r="H31"/>
    </row>
    <row r="32" spans="2:8" s="25" customFormat="1" x14ac:dyDescent="0.25">
      <c r="B32" s="88"/>
      <c r="C32" s="44"/>
      <c r="D32" s="88"/>
      <c r="E32" s="61"/>
      <c r="G32"/>
      <c r="H32"/>
    </row>
    <row r="33" spans="1:8" s="25" customFormat="1" x14ac:dyDescent="0.25">
      <c r="B33" s="88"/>
      <c r="C33" s="44"/>
      <c r="D33" s="88"/>
      <c r="E33" s="61"/>
      <c r="G33"/>
      <c r="H33"/>
    </row>
    <row r="34" spans="1:8" s="25" customFormat="1" x14ac:dyDescent="0.25">
      <c r="B34" s="88"/>
      <c r="C34" s="44"/>
      <c r="D34" s="88"/>
      <c r="E34" s="61"/>
      <c r="G34"/>
      <c r="H34"/>
    </row>
    <row r="35" spans="1:8" s="25" customFormat="1" x14ac:dyDescent="0.25">
      <c r="B35" s="88"/>
      <c r="C35" s="44"/>
      <c r="D35" s="88"/>
      <c r="E35" s="61"/>
      <c r="G35"/>
      <c r="H35"/>
    </row>
    <row r="36" spans="1:8" s="25" customFormat="1" x14ac:dyDescent="0.25">
      <c r="B36" s="88"/>
      <c r="C36" s="44"/>
      <c r="D36" s="88"/>
      <c r="E36" s="61"/>
      <c r="G36"/>
      <c r="H36"/>
    </row>
    <row r="37" spans="1:8" s="25" customFormat="1" x14ac:dyDescent="0.25">
      <c r="B37" s="88"/>
      <c r="C37" s="44"/>
      <c r="D37" s="88"/>
      <c r="E37" s="61"/>
      <c r="G37"/>
      <c r="H37"/>
    </row>
    <row r="40" spans="1:8" s="25" customFormat="1" x14ac:dyDescent="0.25">
      <c r="B40" s="54"/>
      <c r="D40"/>
      <c r="E40"/>
      <c r="G40"/>
      <c r="H40"/>
    </row>
    <row r="41" spans="1:8" s="25" customFormat="1" x14ac:dyDescent="0.25">
      <c r="B41" s="54"/>
      <c r="D41"/>
      <c r="E41"/>
      <c r="G41"/>
      <c r="H41"/>
    </row>
    <row r="42" spans="1:8" s="25" customFormat="1" x14ac:dyDescent="0.25">
      <c r="B42" s="54"/>
      <c r="D42"/>
      <c r="E42"/>
      <c r="G42"/>
      <c r="H42"/>
    </row>
    <row r="43" spans="1:8" s="25" customFormat="1" x14ac:dyDescent="0.25">
      <c r="B43" s="54"/>
      <c r="D43"/>
      <c r="E43"/>
      <c r="G43"/>
      <c r="H43"/>
    </row>
    <row r="44" spans="1:8" s="25" customFormat="1" x14ac:dyDescent="0.25">
      <c r="B44" s="54"/>
      <c r="D44"/>
      <c r="E44"/>
      <c r="G44"/>
      <c r="H44"/>
    </row>
    <row r="45" spans="1:8" s="25" customFormat="1" x14ac:dyDescent="0.25">
      <c r="B45" s="54"/>
      <c r="D45"/>
      <c r="E45"/>
      <c r="G45"/>
      <c r="H45"/>
    </row>
    <row r="46" spans="1:8" s="25" customFormat="1" x14ac:dyDescent="0.25">
      <c r="A46" s="127"/>
      <c r="B46" s="54"/>
      <c r="D46"/>
      <c r="E46"/>
      <c r="G46"/>
      <c r="H46"/>
    </row>
    <row r="47" spans="1:8" s="25" customFormat="1" x14ac:dyDescent="0.25">
      <c r="A47" s="28"/>
      <c r="B47" s="54"/>
      <c r="D47"/>
      <c r="E47"/>
      <c r="G47"/>
      <c r="H47"/>
    </row>
    <row r="48" spans="1:8" s="25" customFormat="1" x14ac:dyDescent="0.25">
      <c r="A48" s="28"/>
      <c r="B48" s="125"/>
      <c r="D48"/>
      <c r="E48"/>
      <c r="G48"/>
      <c r="H48"/>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7A74F-3EA0-460A-A512-955730A2A56F}">
  <sheetPr>
    <tabColor rgb="FFFFFF00"/>
  </sheetPr>
  <dimension ref="A1:I61"/>
  <sheetViews>
    <sheetView workbookViewId="0">
      <selection activeCell="D4" sqref="D4"/>
    </sheetView>
  </sheetViews>
  <sheetFormatPr defaultRowHeight="15" x14ac:dyDescent="0.25"/>
  <cols>
    <col min="1" max="1" width="11.85546875" style="25" customWidth="1"/>
    <col min="2" max="2" width="14.85546875" style="54" customWidth="1"/>
    <col min="3" max="3" width="14.85546875" style="25" customWidth="1"/>
    <col min="4" max="4" width="16.42578125" customWidth="1"/>
    <col min="5" max="5" width="14.85546875" customWidth="1"/>
    <col min="7" max="7" width="11.5703125" style="25" customWidth="1"/>
  </cols>
  <sheetData>
    <row r="1" spans="1:9" x14ac:dyDescent="0.25">
      <c r="A1" s="59" t="s">
        <v>147</v>
      </c>
      <c r="B1" s="126"/>
    </row>
    <row r="2" spans="1:9" x14ac:dyDescent="0.25">
      <c r="A2" s="28" t="s">
        <v>148</v>
      </c>
      <c r="B2" s="125"/>
      <c r="E2" s="31"/>
    </row>
    <row r="3" spans="1:9" x14ac:dyDescent="0.25">
      <c r="A3" s="59"/>
      <c r="G3"/>
    </row>
    <row r="4" spans="1:9" ht="30.75" customHeight="1" x14ac:dyDescent="0.25">
      <c r="A4" s="43" t="s">
        <v>158</v>
      </c>
      <c r="B4" s="175" t="s">
        <v>1171</v>
      </c>
      <c r="C4" s="175" t="s">
        <v>1172</v>
      </c>
      <c r="D4" s="43" t="s">
        <v>1173</v>
      </c>
      <c r="E4" s="175" t="s">
        <v>1174</v>
      </c>
      <c r="G4" s="54"/>
      <c r="H4" s="54"/>
      <c r="I4" s="54"/>
    </row>
    <row r="5" spans="1:9" x14ac:dyDescent="0.25">
      <c r="A5" s="91">
        <v>1980</v>
      </c>
      <c r="B5" s="174">
        <v>0.15936062989999999</v>
      </c>
      <c r="C5" s="80">
        <v>0.14227788459999999</v>
      </c>
      <c r="D5" s="46">
        <v>0.103501</v>
      </c>
      <c r="E5" s="46">
        <v>0.11433439999999999</v>
      </c>
      <c r="H5" s="25"/>
      <c r="I5" s="25"/>
    </row>
    <row r="6" spans="1:9" x14ac:dyDescent="0.25">
      <c r="A6" s="91">
        <v>1981</v>
      </c>
      <c r="B6" s="174">
        <v>0.1723426357</v>
      </c>
      <c r="C6" s="80">
        <v>0.15220491799999999</v>
      </c>
      <c r="D6" s="46">
        <v>0.109987394957983</v>
      </c>
      <c r="E6" s="46">
        <v>0.13921365460000001</v>
      </c>
      <c r="H6" s="25"/>
      <c r="I6" s="25"/>
    </row>
    <row r="7" spans="1:9" x14ac:dyDescent="0.25">
      <c r="A7" s="91">
        <v>1982</v>
      </c>
      <c r="B7" s="174">
        <v>0.17481401869999999</v>
      </c>
      <c r="C7" s="80">
        <v>0.1579180328</v>
      </c>
      <c r="D7" s="46">
        <v>0.117894262295082</v>
      </c>
      <c r="E7" s="46">
        <v>0.1300550201</v>
      </c>
      <c r="H7" s="25"/>
      <c r="I7" s="25"/>
    </row>
    <row r="8" spans="1:9" x14ac:dyDescent="0.25">
      <c r="A8" s="91">
        <v>1983</v>
      </c>
      <c r="B8" s="174">
        <v>0.1650645161</v>
      </c>
      <c r="C8" s="80">
        <v>0.15374315790000001</v>
      </c>
      <c r="D8" s="46">
        <v>0.11691752577319599</v>
      </c>
      <c r="E8" s="46">
        <v>0.11103</v>
      </c>
      <c r="H8" s="25"/>
      <c r="I8" s="25"/>
    </row>
    <row r="9" spans="1:9" x14ac:dyDescent="0.25">
      <c r="A9" s="91">
        <v>1984</v>
      </c>
      <c r="B9" s="174">
        <v>0.16420000000000001</v>
      </c>
      <c r="C9" s="80">
        <v>0.15335263160000001</v>
      </c>
      <c r="D9" s="46">
        <v>0.11860526315789499</v>
      </c>
      <c r="E9" s="46">
        <v>0.1245811245</v>
      </c>
      <c r="H9" s="25"/>
      <c r="I9" s="25"/>
    </row>
    <row r="10" spans="1:9" x14ac:dyDescent="0.25">
      <c r="A10" s="91">
        <v>1985</v>
      </c>
      <c r="B10" s="174">
        <v>0.15844307690000001</v>
      </c>
      <c r="C10" s="80">
        <v>0.15184385959999999</v>
      </c>
      <c r="D10" s="46">
        <v>0.118646428571429</v>
      </c>
      <c r="E10" s="46">
        <v>0.1061979839</v>
      </c>
      <c r="H10" s="25"/>
      <c r="I10" s="25"/>
    </row>
    <row r="11" spans="1:9" x14ac:dyDescent="0.25">
      <c r="A11" s="91">
        <v>1986</v>
      </c>
      <c r="B11" s="174">
        <v>0.1470813953</v>
      </c>
      <c r="C11" s="80">
        <v>0.1398791667</v>
      </c>
      <c r="D11" s="46">
        <v>0.11192199999999999</v>
      </c>
      <c r="E11" s="46">
        <v>7.6728400000000002E-2</v>
      </c>
      <c r="H11" s="25"/>
      <c r="I11" s="25"/>
    </row>
    <row r="12" spans="1:9" x14ac:dyDescent="0.25">
      <c r="A12" s="91">
        <v>1987</v>
      </c>
      <c r="B12" s="174">
        <v>0.13629411759999999</v>
      </c>
      <c r="C12" s="80">
        <v>0.12981999999999999</v>
      </c>
      <c r="D12" s="46">
        <v>0.108095555555556</v>
      </c>
      <c r="E12" s="46">
        <v>8.392680000000001E-2</v>
      </c>
      <c r="H12" s="25"/>
      <c r="I12" s="25"/>
    </row>
    <row r="13" spans="1:9" x14ac:dyDescent="0.25">
      <c r="A13" s="91">
        <v>1988</v>
      </c>
      <c r="B13" s="174">
        <v>0.1374565217</v>
      </c>
      <c r="C13" s="80">
        <v>0.1279866667</v>
      </c>
      <c r="D13" s="46">
        <v>0.10583103448275899</v>
      </c>
      <c r="E13" s="46">
        <v>8.8480000000000003E-2</v>
      </c>
      <c r="H13" s="25"/>
      <c r="I13" s="25"/>
    </row>
    <row r="14" spans="1:9" x14ac:dyDescent="0.25">
      <c r="A14" s="91">
        <v>1989</v>
      </c>
      <c r="B14" s="174">
        <v>0.13736136360000001</v>
      </c>
      <c r="C14" s="80">
        <v>0.12967826090000001</v>
      </c>
      <c r="D14" s="46">
        <v>0.106515</v>
      </c>
      <c r="E14" s="46">
        <v>8.493719999999999E-2</v>
      </c>
      <c r="H14" s="25"/>
      <c r="I14" s="25"/>
    </row>
    <row r="15" spans="1:9" x14ac:dyDescent="0.25">
      <c r="A15" s="91">
        <v>1990</v>
      </c>
      <c r="B15" s="174">
        <v>0.13391025640000001</v>
      </c>
      <c r="C15" s="80">
        <v>0.12696578949999998</v>
      </c>
      <c r="D15" s="46">
        <v>0.10395277777777799</v>
      </c>
      <c r="E15" s="46">
        <v>8.5524000000000003E-2</v>
      </c>
      <c r="H15" s="25"/>
      <c r="I15" s="25"/>
    </row>
    <row r="16" spans="1:9" x14ac:dyDescent="0.25">
      <c r="A16" s="91">
        <v>1991</v>
      </c>
      <c r="B16" s="174">
        <v>0.13083818180000001</v>
      </c>
      <c r="C16" s="80">
        <v>0.12544523809999999</v>
      </c>
      <c r="D16" s="46">
        <v>0.103692857142857</v>
      </c>
      <c r="E16" s="46">
        <v>7.8623600000000002E-2</v>
      </c>
      <c r="H16" s="25"/>
      <c r="I16" s="25"/>
    </row>
    <row r="17" spans="1:9" x14ac:dyDescent="0.25">
      <c r="A17" s="91">
        <v>1992</v>
      </c>
      <c r="B17" s="174">
        <v>0.12666666669999999</v>
      </c>
      <c r="C17" s="80">
        <v>0.1209111111</v>
      </c>
      <c r="D17" s="46">
        <v>0.10050000000000001</v>
      </c>
      <c r="E17" s="46">
        <v>7.0088446220000003E-2</v>
      </c>
      <c r="H17" s="25"/>
      <c r="I17" s="25"/>
    </row>
    <row r="18" spans="1:9" x14ac:dyDescent="0.25">
      <c r="A18" s="91">
        <v>1993</v>
      </c>
      <c r="B18" s="174">
        <v>0.12307999999999999</v>
      </c>
      <c r="C18" s="80">
        <v>0.1145642857</v>
      </c>
      <c r="D18" s="46">
        <v>9.6607407407407406E-2</v>
      </c>
      <c r="E18" s="46">
        <v>5.8662799999999994E-2</v>
      </c>
      <c r="H18" s="25"/>
      <c r="I18" s="25"/>
    </row>
    <row r="19" spans="1:9" x14ac:dyDescent="0.25">
      <c r="A19" s="91">
        <v>1994</v>
      </c>
      <c r="B19" s="174">
        <v>0.1249485714</v>
      </c>
      <c r="C19" s="80">
        <v>0.1121178571</v>
      </c>
      <c r="D19" s="46">
        <v>9.3262962962963006E-2</v>
      </c>
      <c r="E19" s="46">
        <v>7.0851807229999994E-2</v>
      </c>
      <c r="H19" s="25"/>
      <c r="I19" s="25"/>
    </row>
    <row r="20" spans="1:9" x14ac:dyDescent="0.25">
      <c r="A20" s="91">
        <v>1995</v>
      </c>
      <c r="B20" s="174">
        <v>0.1222451613</v>
      </c>
      <c r="C20" s="80">
        <v>0.1157714286</v>
      </c>
      <c r="D20" s="46">
        <v>9.49888888888889E-2</v>
      </c>
      <c r="E20" s="46">
        <v>6.5739199999999998E-2</v>
      </c>
      <c r="H20" s="25"/>
      <c r="I20" s="25"/>
    </row>
    <row r="21" spans="1:9" x14ac:dyDescent="0.25">
      <c r="A21" s="91">
        <v>1996</v>
      </c>
      <c r="B21" s="174">
        <v>0.12184374999999999</v>
      </c>
      <c r="C21" s="80">
        <v>0.11402777779999999</v>
      </c>
      <c r="D21" s="46">
        <v>9.2306666666666704E-2</v>
      </c>
      <c r="E21" s="46">
        <v>6.4435317460000002E-2</v>
      </c>
      <c r="H21" s="25"/>
      <c r="I21" s="25"/>
    </row>
    <row r="22" spans="1:9" x14ac:dyDescent="0.25">
      <c r="A22" s="91">
        <v>1997</v>
      </c>
      <c r="B22" s="174">
        <v>0.12225</v>
      </c>
      <c r="C22" s="80">
        <v>0.11329</v>
      </c>
      <c r="D22" s="46">
        <v>9.4209999999999988E-2</v>
      </c>
      <c r="E22" s="46">
        <v>6.3539600000000002E-2</v>
      </c>
      <c r="H22" s="25"/>
      <c r="I22" s="25"/>
    </row>
    <row r="23" spans="1:9" x14ac:dyDescent="0.25">
      <c r="A23" s="91">
        <v>1998</v>
      </c>
      <c r="B23" s="174">
        <v>0.1199916667</v>
      </c>
      <c r="C23" s="80">
        <v>0.11765</v>
      </c>
      <c r="D23" s="46">
        <v>0.100033333333333</v>
      </c>
      <c r="E23" s="46">
        <v>5.2628800000000003E-2</v>
      </c>
      <c r="H23" s="25"/>
      <c r="I23" s="25"/>
    </row>
    <row r="24" spans="1:9" x14ac:dyDescent="0.25">
      <c r="A24" s="91">
        <v>1999</v>
      </c>
      <c r="B24" s="174">
        <v>0.11716666670000001</v>
      </c>
      <c r="C24" s="80">
        <v>0.10723333330000001</v>
      </c>
      <c r="D24" s="46">
        <v>8.5433333333333292E-2</v>
      </c>
      <c r="E24" s="46">
        <v>5.6461354579999998E-2</v>
      </c>
      <c r="H24" s="25"/>
      <c r="I24" s="25"/>
    </row>
    <row r="25" spans="1:9" x14ac:dyDescent="0.25">
      <c r="A25" s="91">
        <v>2000</v>
      </c>
      <c r="B25" s="174">
        <v>0.11977272729999999</v>
      </c>
      <c r="C25" s="80">
        <v>0.1157888889</v>
      </c>
      <c r="D25" s="46">
        <v>9.2769999999999991E-2</v>
      </c>
      <c r="E25" s="46">
        <v>6.0302788840000003E-2</v>
      </c>
      <c r="H25" s="25"/>
      <c r="I25" s="25"/>
    </row>
    <row r="26" spans="1:9" x14ac:dyDescent="0.25">
      <c r="A26" s="91">
        <v>2001</v>
      </c>
      <c r="B26" s="174">
        <v>0.12359999999999999</v>
      </c>
      <c r="C26" s="80">
        <v>0.11071333329999999</v>
      </c>
      <c r="D26" s="46">
        <v>8.9258333333333301E-2</v>
      </c>
      <c r="E26" s="46">
        <v>5.0206854840000002E-2</v>
      </c>
      <c r="H26" s="25"/>
      <c r="I26" s="25"/>
    </row>
    <row r="27" spans="1:9" x14ac:dyDescent="0.25">
      <c r="A27" s="91">
        <v>2002</v>
      </c>
      <c r="B27" s="174">
        <v>0.12134444439999999</v>
      </c>
      <c r="C27" s="80">
        <v>0.1121285714</v>
      </c>
      <c r="D27" s="46">
        <v>8.7030769230769189E-2</v>
      </c>
      <c r="E27" s="46">
        <v>4.61308E-2</v>
      </c>
      <c r="H27" s="25"/>
      <c r="I27" s="25"/>
    </row>
    <row r="28" spans="1:9" x14ac:dyDescent="0.25">
      <c r="A28" s="91">
        <v>2003</v>
      </c>
      <c r="B28" s="174">
        <v>0.11730399999999999</v>
      </c>
      <c r="C28" s="80">
        <v>0.10962999999999999</v>
      </c>
      <c r="D28" s="46">
        <v>9.0761111111111112E-2</v>
      </c>
      <c r="E28" s="46">
        <v>4.0138800000000002E-2</v>
      </c>
      <c r="H28" s="25"/>
      <c r="I28" s="25"/>
    </row>
    <row r="29" spans="1:9" x14ac:dyDescent="0.25">
      <c r="A29" s="91">
        <v>2004</v>
      </c>
      <c r="B29" s="174">
        <v>0.114492</v>
      </c>
      <c r="C29" s="80">
        <v>0.10809047619999999</v>
      </c>
      <c r="D29" s="46">
        <v>8.7110000000000007E-2</v>
      </c>
      <c r="E29" s="46">
        <v>4.27132E-2</v>
      </c>
      <c r="H29" s="25"/>
      <c r="I29" s="25"/>
    </row>
    <row r="30" spans="1:9" x14ac:dyDescent="0.25">
      <c r="A30" s="91">
        <v>2005</v>
      </c>
      <c r="B30" s="174">
        <v>0.11326764710000001</v>
      </c>
      <c r="C30" s="80">
        <v>0.1051125</v>
      </c>
      <c r="D30" s="46">
        <v>8.4373913043478299E-2</v>
      </c>
      <c r="E30" s="46">
        <v>4.2888799999999998E-2</v>
      </c>
      <c r="H30" s="25"/>
      <c r="I30" s="25"/>
    </row>
    <row r="31" spans="1:9" x14ac:dyDescent="0.25">
      <c r="A31" s="91">
        <v>2006</v>
      </c>
      <c r="B31" s="174">
        <v>0.1130666667</v>
      </c>
      <c r="C31" s="80">
        <v>0.1032230769</v>
      </c>
      <c r="D31" s="46">
        <v>8.3234615384615407E-2</v>
      </c>
      <c r="E31" s="46">
        <v>4.795E-2</v>
      </c>
      <c r="H31" s="25"/>
      <c r="I31" s="25"/>
    </row>
    <row r="32" spans="1:9" x14ac:dyDescent="0.25">
      <c r="A32" s="91">
        <v>2007</v>
      </c>
      <c r="B32" s="174">
        <v>0.1129897959</v>
      </c>
      <c r="C32" s="80">
        <v>0.1030157895</v>
      </c>
      <c r="D32" s="46">
        <v>8.1783783783783801E-2</v>
      </c>
      <c r="E32" s="46">
        <v>4.6346613550000006E-2</v>
      </c>
      <c r="H32" s="25"/>
      <c r="I32" s="25"/>
    </row>
    <row r="33" spans="1:9" x14ac:dyDescent="0.25">
      <c r="A33" s="91">
        <v>2008</v>
      </c>
      <c r="B33" s="174">
        <v>0.1116791667</v>
      </c>
      <c r="C33" s="80">
        <v>0.10406216219999999</v>
      </c>
      <c r="D33" s="46">
        <v>8.2053846153846088E-2</v>
      </c>
      <c r="E33" s="46">
        <v>3.6642629480000001E-2</v>
      </c>
      <c r="H33" s="25"/>
      <c r="I33" s="25"/>
    </row>
    <row r="34" spans="1:9" x14ac:dyDescent="0.25">
      <c r="A34" s="91">
        <v>2009</v>
      </c>
      <c r="B34" s="174">
        <v>0.1135898551</v>
      </c>
      <c r="C34" s="80">
        <v>0.10517560980000001</v>
      </c>
      <c r="D34" s="46">
        <v>8.2751219512195107E-2</v>
      </c>
      <c r="E34" s="46">
        <v>3.2641200000000002E-2</v>
      </c>
      <c r="H34" s="25"/>
      <c r="I34" s="25"/>
    </row>
    <row r="35" spans="1:9" x14ac:dyDescent="0.25">
      <c r="A35" s="91">
        <v>2010</v>
      </c>
      <c r="B35" s="174">
        <v>0.1120396552</v>
      </c>
      <c r="C35" s="80">
        <v>0.10370983609999999</v>
      </c>
      <c r="D35" s="46">
        <v>8.0125806451612894E-2</v>
      </c>
      <c r="E35" s="46">
        <v>3.2150597609999998E-2</v>
      </c>
      <c r="H35" s="25"/>
      <c r="I35" s="25"/>
    </row>
    <row r="36" spans="1:9" x14ac:dyDescent="0.25">
      <c r="A36" s="91">
        <v>2011</v>
      </c>
      <c r="B36" s="174">
        <v>0.11051999999999999</v>
      </c>
      <c r="C36" s="80">
        <v>0.1028714286</v>
      </c>
      <c r="D36" s="46">
        <v>8.0046511627907005E-2</v>
      </c>
      <c r="E36" s="46">
        <v>2.7816399999999998E-2</v>
      </c>
      <c r="H36" s="25"/>
      <c r="I36" s="25"/>
    </row>
    <row r="37" spans="1:9" x14ac:dyDescent="0.25">
      <c r="A37" s="91">
        <v>2012</v>
      </c>
      <c r="B37" s="174">
        <v>0.10702372880000001</v>
      </c>
      <c r="C37" s="80">
        <v>0.1017051724</v>
      </c>
      <c r="D37" s="46">
        <v>7.9535294117647093E-2</v>
      </c>
      <c r="E37" s="46">
        <v>1.8034399999999999E-2</v>
      </c>
      <c r="H37" s="25"/>
      <c r="I37" s="25"/>
    </row>
    <row r="38" spans="1:9" x14ac:dyDescent="0.25">
      <c r="A38" s="91">
        <v>2013</v>
      </c>
      <c r="B38" s="174">
        <v>0.1061122449</v>
      </c>
      <c r="C38" s="80">
        <v>0.1002632653</v>
      </c>
      <c r="D38" s="46">
        <v>7.6608888888888907E-2</v>
      </c>
      <c r="E38" s="46">
        <v>2.3501599999999997E-2</v>
      </c>
      <c r="H38" s="25"/>
      <c r="I38" s="25"/>
    </row>
    <row r="39" spans="1:9" x14ac:dyDescent="0.25">
      <c r="A39" s="91">
        <v>2014</v>
      </c>
      <c r="B39" s="174">
        <v>0.10440545449999999</v>
      </c>
      <c r="C39" s="80">
        <v>9.9102631579999989E-2</v>
      </c>
      <c r="D39" s="46">
        <v>7.5956250000000003E-2</v>
      </c>
      <c r="E39" s="46">
        <v>2.5395599999999997E-2</v>
      </c>
      <c r="H39" s="25"/>
      <c r="I39" s="25"/>
    </row>
    <row r="40" spans="1:9" x14ac:dyDescent="0.25">
      <c r="A40" s="91">
        <v>2015</v>
      </c>
      <c r="B40" s="174">
        <v>0.10276199999999999</v>
      </c>
      <c r="C40" s="80">
        <v>9.8448387099999993E-2</v>
      </c>
      <c r="D40" s="46">
        <v>7.3461111111111102E-2</v>
      </c>
      <c r="E40" s="46">
        <v>2.1382868529999998E-2</v>
      </c>
      <c r="H40" s="25"/>
      <c r="I40" s="25"/>
    </row>
    <row r="41" spans="1:9" x14ac:dyDescent="0.25">
      <c r="A41" s="91">
        <v>2016</v>
      </c>
      <c r="B41" s="174">
        <v>0.10481562500000001</v>
      </c>
      <c r="C41" s="80">
        <v>9.7652380950000006E-2</v>
      </c>
      <c r="D41" s="46">
        <v>7.2819512195122005E-2</v>
      </c>
      <c r="E41" s="46">
        <v>1.8374399999999999E-2</v>
      </c>
      <c r="H41" s="25"/>
      <c r="I41" s="25"/>
    </row>
    <row r="42" spans="1:9" x14ac:dyDescent="0.25">
      <c r="A42" s="91">
        <v>2017</v>
      </c>
      <c r="B42" s="174">
        <v>0.1020203704</v>
      </c>
      <c r="C42" s="80">
        <v>9.7396226420000009E-2</v>
      </c>
      <c r="D42" s="46">
        <v>7.1833333333333305E-2</v>
      </c>
      <c r="E42" s="46">
        <v>2.3294800000000001E-2</v>
      </c>
      <c r="H42" s="25"/>
      <c r="I42" s="25"/>
    </row>
    <row r="43" spans="1:9" x14ac:dyDescent="0.25">
      <c r="A43" s="91">
        <v>2018</v>
      </c>
      <c r="B43" s="174">
        <v>0.1008614035</v>
      </c>
      <c r="C43" s="80">
        <v>9.5987500000000003E-2</v>
      </c>
      <c r="D43" s="46">
        <v>6.9310204081632701E-2</v>
      </c>
      <c r="E43" s="46">
        <v>2.9112449800000002E-2</v>
      </c>
      <c r="H43" s="25"/>
      <c r="I43" s="25"/>
    </row>
    <row r="44" spans="1:9" x14ac:dyDescent="0.25">
      <c r="A44" s="91">
        <v>2019</v>
      </c>
      <c r="B44" s="174">
        <v>0.10228939390000001</v>
      </c>
      <c r="C44" s="80">
        <v>9.6587234039999997E-2</v>
      </c>
      <c r="D44" s="46">
        <v>6.9747727272727295E-2</v>
      </c>
      <c r="E44" s="46">
        <v>2.1413999999999999E-2</v>
      </c>
      <c r="H44" s="25"/>
      <c r="I44" s="25"/>
    </row>
    <row r="45" spans="1:9" x14ac:dyDescent="0.25">
      <c r="A45" s="91">
        <v>2020</v>
      </c>
      <c r="B45" s="174">
        <v>9.7417021280000002E-2</v>
      </c>
      <c r="C45" s="80">
        <v>9.4414545449999998E-2</v>
      </c>
      <c r="D45" s="46">
        <v>6.8501785714285696E-2</v>
      </c>
      <c r="E45" s="46">
        <v>8.8920318700000008E-3</v>
      </c>
      <c r="H45" s="25"/>
      <c r="I45" s="25"/>
    </row>
    <row r="46" spans="1:9" x14ac:dyDescent="0.25">
      <c r="A46" s="91">
        <v>2021</v>
      </c>
      <c r="B46" s="174">
        <v>9.8396721310000004E-2</v>
      </c>
      <c r="C46" s="80">
        <v>9.3841818179999995E-2</v>
      </c>
      <c r="D46" s="46">
        <v>6.8099999999999994E-2</v>
      </c>
      <c r="E46" s="46">
        <v>1.4468525899999999E-2</v>
      </c>
      <c r="H46" s="25"/>
      <c r="I46" s="25"/>
    </row>
    <row r="47" spans="1:9" x14ac:dyDescent="0.25">
      <c r="A47" s="91">
        <v>2022</v>
      </c>
      <c r="B47" s="174">
        <v>0.1006176471</v>
      </c>
      <c r="C47" s="80">
        <v>9.5383018869999989E-2</v>
      </c>
      <c r="D47" s="46">
        <v>6.8630188679245294E-2</v>
      </c>
      <c r="E47" s="46">
        <v>2.9505622489999998E-2</v>
      </c>
      <c r="H47" s="25"/>
      <c r="I47" s="25"/>
    </row>
    <row r="48" spans="1:9" x14ac:dyDescent="0.25">
      <c r="A48" s="91">
        <v>2023</v>
      </c>
      <c r="B48" s="174">
        <v>0.1018731343</v>
      </c>
      <c r="C48" s="80">
        <v>9.5957142859999997E-2</v>
      </c>
      <c r="D48" s="46">
        <v>6.9146774193548394E-2</v>
      </c>
      <c r="E48" s="46">
        <v>3.959E-2</v>
      </c>
      <c r="H48" s="25"/>
      <c r="I48" s="25"/>
    </row>
    <row r="49" spans="1:9" x14ac:dyDescent="0.25">
      <c r="A49" s="91">
        <v>2024</v>
      </c>
      <c r="B49" s="174">
        <v>0.10398888890000001</v>
      </c>
      <c r="C49" s="80">
        <v>9.7439999999999999E-2</v>
      </c>
      <c r="D49" s="46">
        <v>7.0723636363636405E-2</v>
      </c>
      <c r="E49" s="46">
        <v>4.2079600000000002E-2</v>
      </c>
      <c r="H49" s="25"/>
      <c r="I49" s="25"/>
    </row>
    <row r="50" spans="1:9" x14ac:dyDescent="0.25">
      <c r="A50" s="91">
        <v>2025</v>
      </c>
      <c r="B50" s="174">
        <v>0.1055018868</v>
      </c>
      <c r="C50" s="80">
        <v>9.7116949150000006E-2</v>
      </c>
      <c r="D50" s="46">
        <v>7.0920338983050793E-2</v>
      </c>
      <c r="E50" s="46">
        <v>4.2932128510000001E-2</v>
      </c>
      <c r="H50" s="25"/>
      <c r="I50" s="25"/>
    </row>
    <row r="51" spans="1:9" x14ac:dyDescent="0.25">
      <c r="B51" s="88"/>
      <c r="C51" s="44"/>
      <c r="D51" s="61"/>
      <c r="E51" s="88"/>
    </row>
    <row r="53" spans="1:9" x14ac:dyDescent="0.25">
      <c r="A53" s="127" t="s">
        <v>197</v>
      </c>
      <c r="B53" s="127" t="s">
        <v>1150</v>
      </c>
    </row>
    <row r="54" spans="1:9" x14ac:dyDescent="0.25">
      <c r="A54" s="127"/>
      <c r="B54" s="127"/>
    </row>
    <row r="55" spans="1:9" x14ac:dyDescent="0.25">
      <c r="A55" s="127" t="s">
        <v>205</v>
      </c>
      <c r="B55" s="127" t="s">
        <v>1175</v>
      </c>
    </row>
    <row r="56" spans="1:9" x14ac:dyDescent="0.25">
      <c r="A56" s="127"/>
      <c r="B56" s="127"/>
    </row>
    <row r="57" spans="1:9" x14ac:dyDescent="0.25">
      <c r="A57" s="127"/>
      <c r="B57" s="127"/>
    </row>
    <row r="58" spans="1:9" x14ac:dyDescent="0.25">
      <c r="A58" s="127"/>
      <c r="B58" s="127"/>
    </row>
    <row r="59" spans="1:9" x14ac:dyDescent="0.25">
      <c r="A59" s="127"/>
    </row>
    <row r="60" spans="1:9" x14ac:dyDescent="0.25">
      <c r="A60" s="28"/>
    </row>
    <row r="61" spans="1:9" x14ac:dyDescent="0.25">
      <c r="A61" s="28"/>
      <c r="B61" s="125"/>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A2F87-E3FF-4017-BFAC-2C5A32DD4328}">
  <sheetPr>
    <tabColor rgb="FFFFFF00"/>
  </sheetPr>
  <dimension ref="A1:F24"/>
  <sheetViews>
    <sheetView workbookViewId="0">
      <selection activeCell="F18" sqref="F18"/>
    </sheetView>
  </sheetViews>
  <sheetFormatPr defaultRowHeight="15" x14ac:dyDescent="0.25"/>
  <cols>
    <col min="1" max="1" width="20.42578125" style="25" customWidth="1"/>
    <col min="2" max="2" width="14.85546875" style="25" customWidth="1"/>
    <col min="3" max="3" width="11.85546875" customWidth="1"/>
    <col min="4" max="4" width="11.5703125" style="25" customWidth="1"/>
  </cols>
  <sheetData>
    <row r="1" spans="1:6" x14ac:dyDescent="0.25">
      <c r="A1" s="59" t="s">
        <v>149</v>
      </c>
    </row>
    <row r="2" spans="1:6" x14ac:dyDescent="0.25">
      <c r="A2" s="28" t="s">
        <v>150</v>
      </c>
    </row>
    <row r="3" spans="1:6" x14ac:dyDescent="0.25">
      <c r="A3" s="59"/>
      <c r="D3"/>
    </row>
    <row r="4" spans="1:6" ht="30.75" customHeight="1" x14ac:dyDescent="0.25">
      <c r="A4" s="53" t="s">
        <v>490</v>
      </c>
      <c r="B4" s="175" t="s">
        <v>1172</v>
      </c>
      <c r="C4" s="54"/>
      <c r="D4" s="54"/>
      <c r="E4" s="54"/>
      <c r="F4" s="54"/>
    </row>
    <row r="5" spans="1:6" x14ac:dyDescent="0.25">
      <c r="A5" s="178" t="s">
        <v>474</v>
      </c>
      <c r="B5" s="46">
        <v>0.1021352941</v>
      </c>
      <c r="E5" s="25"/>
      <c r="F5" s="25"/>
    </row>
    <row r="6" spans="1:6" x14ac:dyDescent="0.25">
      <c r="A6" s="178" t="s">
        <v>475</v>
      </c>
      <c r="B6" s="46">
        <v>9.6112500000000003E-2</v>
      </c>
      <c r="E6" s="25"/>
      <c r="F6" s="25"/>
    </row>
    <row r="7" spans="1:6" x14ac:dyDescent="0.25">
      <c r="A7" s="178" t="s">
        <v>480</v>
      </c>
      <c r="B7" s="46">
        <v>9.3094117650000002E-2</v>
      </c>
      <c r="E7" s="25"/>
      <c r="F7" s="25"/>
    </row>
    <row r="8" spans="1:6" x14ac:dyDescent="0.25">
      <c r="A8" s="178" t="s">
        <v>476</v>
      </c>
      <c r="B8" s="46">
        <v>9.6597560980000011E-2</v>
      </c>
      <c r="E8" s="25"/>
      <c r="F8" s="25"/>
    </row>
    <row r="9" spans="1:6" x14ac:dyDescent="0.25">
      <c r="A9" s="178" t="s">
        <v>479</v>
      </c>
      <c r="B9" s="46">
        <v>9.3100000000000002E-2</v>
      </c>
      <c r="E9" s="25"/>
      <c r="F9" s="25"/>
    </row>
    <row r="10" spans="1:6" x14ac:dyDescent="0.25">
      <c r="A10" s="178" t="s">
        <v>478</v>
      </c>
      <c r="B10" s="46">
        <v>9.4877391300000002E-2</v>
      </c>
      <c r="E10" s="25"/>
      <c r="F10" s="25"/>
    </row>
    <row r="11" spans="1:6" x14ac:dyDescent="0.25">
      <c r="A11" s="178" t="s">
        <v>477</v>
      </c>
      <c r="B11" s="46">
        <v>9.4785714290000003E-2</v>
      </c>
      <c r="E11" s="25"/>
      <c r="F11" s="25"/>
    </row>
    <row r="12" spans="1:6" x14ac:dyDescent="0.25">
      <c r="A12" s="178" t="s">
        <v>529</v>
      </c>
      <c r="B12" s="46">
        <v>0.1004458333</v>
      </c>
      <c r="E12" s="25"/>
      <c r="F12" s="25"/>
    </row>
    <row r="13" spans="1:6" x14ac:dyDescent="0.25">
      <c r="A13" s="178" t="s">
        <v>528</v>
      </c>
      <c r="B13" s="46">
        <v>9.546410256E-2</v>
      </c>
      <c r="E13" s="25"/>
      <c r="F13" s="25"/>
    </row>
    <row r="14" spans="1:6" x14ac:dyDescent="0.25">
      <c r="A14" s="91"/>
      <c r="B14" s="80"/>
      <c r="E14" s="25"/>
      <c r="F14" s="25"/>
    </row>
    <row r="16" spans="1:6" x14ac:dyDescent="0.25">
      <c r="A16" s="127" t="s">
        <v>197</v>
      </c>
      <c r="B16" s="127" t="s">
        <v>1150</v>
      </c>
    </row>
    <row r="17" spans="1:2" x14ac:dyDescent="0.25">
      <c r="A17" s="127"/>
    </row>
    <row r="18" spans="1:2" x14ac:dyDescent="0.25">
      <c r="A18" s="127" t="s">
        <v>205</v>
      </c>
      <c r="B18" s="28" t="s">
        <v>206</v>
      </c>
    </row>
    <row r="19" spans="1:2" x14ac:dyDescent="0.25">
      <c r="A19" s="127"/>
    </row>
    <row r="20" spans="1:2" x14ac:dyDescent="0.25">
      <c r="A20" s="127"/>
    </row>
    <row r="21" spans="1:2" x14ac:dyDescent="0.25">
      <c r="A21" s="127"/>
    </row>
    <row r="22" spans="1:2" x14ac:dyDescent="0.25">
      <c r="A22" s="127"/>
    </row>
    <row r="23" spans="1:2" x14ac:dyDescent="0.25">
      <c r="A23" s="28"/>
    </row>
    <row r="24" spans="1:2" x14ac:dyDescent="0.25">
      <c r="A24" s="28"/>
    </row>
  </sheetData>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AF706-5106-4892-935A-4E183893B045}">
  <sheetPr>
    <tabColor rgb="FFFFFF00"/>
  </sheetPr>
  <dimension ref="A1:K20"/>
  <sheetViews>
    <sheetView workbookViewId="0">
      <selection activeCell="B5" sqref="B5"/>
    </sheetView>
  </sheetViews>
  <sheetFormatPr defaultRowHeight="15" x14ac:dyDescent="0.25"/>
  <cols>
    <col min="1" max="1" width="9.5703125" style="25" customWidth="1"/>
    <col min="2" max="2" width="28.28515625" style="25" customWidth="1"/>
    <col min="3" max="3" width="29" style="25" customWidth="1"/>
    <col min="4" max="4" width="13.5703125" style="25" customWidth="1"/>
    <col min="5" max="5" width="19.28515625" style="81" customWidth="1"/>
    <col min="6" max="6" width="4.85546875" style="81" customWidth="1"/>
    <col min="7" max="7" width="6.85546875" style="81" customWidth="1"/>
    <col min="8" max="8" width="23.28515625" customWidth="1"/>
    <col min="9" max="9" width="23.85546875" customWidth="1"/>
    <col min="11" max="11" width="11.5703125" customWidth="1"/>
  </cols>
  <sheetData>
    <row r="1" spans="1:11" x14ac:dyDescent="0.25">
      <c r="A1" s="59" t="s">
        <v>151</v>
      </c>
      <c r="B1" s="59"/>
    </row>
    <row r="2" spans="1:11" x14ac:dyDescent="0.25">
      <c r="A2" s="28" t="s">
        <v>152</v>
      </c>
      <c r="B2" s="28"/>
    </row>
    <row r="4" spans="1:11" ht="32.25" customHeight="1" x14ac:dyDescent="0.25">
      <c r="A4" s="29" t="s">
        <v>158</v>
      </c>
      <c r="B4" s="43" t="s">
        <v>520</v>
      </c>
      <c r="C4" s="43" t="s">
        <v>519</v>
      </c>
      <c r="D4" s="43" t="s">
        <v>1176</v>
      </c>
      <c r="E4" s="54"/>
      <c r="F4" s="54"/>
      <c r="G4" s="30"/>
      <c r="H4" s="54"/>
      <c r="I4" s="54"/>
    </row>
    <row r="5" spans="1:11" x14ac:dyDescent="0.25">
      <c r="A5" s="30">
        <v>2019</v>
      </c>
      <c r="B5" s="149">
        <f>C5*'Inflation adjustment'!$F$20/'Inflation adjustment'!$F14</f>
        <v>155.89850229017782</v>
      </c>
      <c r="C5" s="128">
        <v>123.8</v>
      </c>
      <c r="D5" s="189" t="s">
        <v>1177</v>
      </c>
      <c r="E5" s="148"/>
      <c r="F5" s="190"/>
      <c r="G5" s="30"/>
      <c r="H5" s="149"/>
      <c r="I5" s="76"/>
      <c r="K5" s="45"/>
    </row>
    <row r="6" spans="1:11" x14ac:dyDescent="0.25">
      <c r="A6" s="30">
        <v>2020</v>
      </c>
      <c r="B6" s="149">
        <f>C6*'Inflation adjustment'!$F$20/'Inflation adjustment'!$F15</f>
        <v>165.06963034801456</v>
      </c>
      <c r="C6" s="128">
        <v>132.69999999999999</v>
      </c>
      <c r="D6" s="189" t="s">
        <v>1177</v>
      </c>
      <c r="E6" s="148"/>
      <c r="F6" s="190"/>
      <c r="G6" s="30"/>
      <c r="H6" s="149"/>
      <c r="I6" s="76"/>
      <c r="K6" s="45"/>
    </row>
    <row r="7" spans="1:11" x14ac:dyDescent="0.25">
      <c r="A7" s="30">
        <v>2021</v>
      </c>
      <c r="B7" s="149">
        <f>C7*'Inflation adjustment'!$F$20/'Inflation adjustment'!$F16</f>
        <v>159.32596339078123</v>
      </c>
      <c r="C7" s="128">
        <v>134.1</v>
      </c>
      <c r="D7" s="189" t="s">
        <v>1177</v>
      </c>
      <c r="E7" s="148"/>
      <c r="F7" s="190"/>
      <c r="G7" s="30"/>
      <c r="H7" s="149"/>
      <c r="I7" s="76"/>
      <c r="K7" s="45"/>
    </row>
    <row r="8" spans="1:11" x14ac:dyDescent="0.25">
      <c r="A8" s="30">
        <v>2022</v>
      </c>
      <c r="B8" s="149">
        <f>C8*'Inflation adjustment'!$F$20/'Inflation adjustment'!$F17</f>
        <v>162.48135552100598</v>
      </c>
      <c r="C8" s="128">
        <v>147.69999999999999</v>
      </c>
      <c r="D8" s="189" t="s">
        <v>1177</v>
      </c>
      <c r="E8" s="148"/>
      <c r="F8" s="190"/>
      <c r="G8" s="30"/>
      <c r="H8" s="149"/>
      <c r="I8" s="76"/>
      <c r="K8" s="45"/>
    </row>
    <row r="9" spans="1:11" x14ac:dyDescent="0.25">
      <c r="A9" s="30">
        <v>2023</v>
      </c>
      <c r="B9" s="149">
        <f>C9*'Inflation adjustment'!$F$20/'Inflation adjustment'!$F18</f>
        <v>181.6266440653491</v>
      </c>
      <c r="C9" s="128">
        <v>171.9</v>
      </c>
      <c r="D9" s="189" t="s">
        <v>1177</v>
      </c>
      <c r="E9" s="148"/>
      <c r="F9" s="190"/>
      <c r="G9" s="30"/>
      <c r="H9" s="149"/>
      <c r="I9" s="76"/>
      <c r="K9" s="45"/>
    </row>
    <row r="10" spans="1:11" x14ac:dyDescent="0.25">
      <c r="A10" s="30">
        <v>2024</v>
      </c>
      <c r="B10" s="149">
        <f>C10*'Inflation adjustment'!$F$20/'Inflation adjustment'!$F19</f>
        <v>182.88892055507202</v>
      </c>
      <c r="C10" s="128">
        <v>178.2</v>
      </c>
      <c r="D10" s="189" t="s">
        <v>1177</v>
      </c>
      <c r="E10" s="148"/>
      <c r="F10" s="190"/>
      <c r="G10" s="30"/>
      <c r="H10" s="149"/>
      <c r="I10" s="76"/>
      <c r="K10" s="45"/>
    </row>
    <row r="11" spans="1:11" x14ac:dyDescent="0.25">
      <c r="A11" s="30">
        <v>2025</v>
      </c>
      <c r="B11" s="149">
        <f>C11*'Inflation adjustment'!$F$20/'Inflation adjustment'!$F20</f>
        <v>207.9</v>
      </c>
      <c r="C11" s="128">
        <v>207.9</v>
      </c>
      <c r="D11" s="189" t="s">
        <v>1178</v>
      </c>
      <c r="E11" s="148"/>
      <c r="F11" s="190"/>
      <c r="G11" s="30"/>
      <c r="H11" s="149"/>
      <c r="I11" s="76"/>
      <c r="K11" s="45"/>
    </row>
    <row r="12" spans="1:11" x14ac:dyDescent="0.25">
      <c r="A12" s="30">
        <v>2026</v>
      </c>
      <c r="B12" s="149">
        <f>C12*'Inflation adjustment'!$F$20/'Inflation adjustment'!$F21</f>
        <v>214.68871595330739</v>
      </c>
      <c r="C12" s="128">
        <v>220.7</v>
      </c>
      <c r="D12" s="189" t="s">
        <v>1178</v>
      </c>
      <c r="E12" s="148"/>
      <c r="F12" s="190"/>
      <c r="G12" s="30"/>
      <c r="H12" s="149"/>
      <c r="I12" s="76"/>
      <c r="K12" s="45"/>
    </row>
    <row r="13" spans="1:11" x14ac:dyDescent="0.25">
      <c r="A13" s="30">
        <v>2027</v>
      </c>
      <c r="B13" s="149">
        <f>C13*'Inflation adjustment'!$F$20/'Inflation adjustment'!$F22</f>
        <v>219.82155885214004</v>
      </c>
      <c r="C13" s="128">
        <v>231.4</v>
      </c>
      <c r="D13" s="189" t="s">
        <v>1178</v>
      </c>
      <c r="E13" s="148"/>
      <c r="F13" s="190"/>
      <c r="G13" s="30"/>
      <c r="H13" s="149"/>
      <c r="I13" s="76"/>
      <c r="K13" s="45"/>
    </row>
    <row r="14" spans="1:11" x14ac:dyDescent="0.25">
      <c r="A14" s="30">
        <v>2028</v>
      </c>
      <c r="B14" s="149">
        <f>C14*'Inflation adjustment'!$F$20/'Inflation adjustment'!$F23</f>
        <v>224.25825065326288</v>
      </c>
      <c r="C14" s="128">
        <v>241.5</v>
      </c>
      <c r="D14" s="189" t="s">
        <v>1178</v>
      </c>
      <c r="E14" s="148"/>
      <c r="F14" s="190"/>
      <c r="G14" s="30"/>
      <c r="H14" s="149"/>
      <c r="I14" s="76"/>
      <c r="K14" s="45"/>
    </row>
    <row r="15" spans="1:11" x14ac:dyDescent="0.25">
      <c r="A15" s="30">
        <v>2029</v>
      </c>
      <c r="B15" s="149">
        <f>C15*'Inflation adjustment'!$F$20/'Inflation adjustment'!$F24</f>
        <v>225.47959847835401</v>
      </c>
      <c r="C15" s="128">
        <v>248.4</v>
      </c>
      <c r="D15" s="189" t="s">
        <v>1178</v>
      </c>
      <c r="F15" s="190"/>
      <c r="G15" s="30"/>
      <c r="H15" s="149"/>
      <c r="I15" s="76"/>
      <c r="K15" s="45"/>
    </row>
    <row r="16" spans="1:11" x14ac:dyDescent="0.25">
      <c r="A16" s="30"/>
      <c r="B16" s="30"/>
      <c r="C16" s="44"/>
      <c r="D16" s="84"/>
    </row>
    <row r="17" spans="1:11" s="81" customFormat="1" x14ac:dyDescent="0.25">
      <c r="A17" s="25"/>
      <c r="B17" s="25"/>
      <c r="C17" s="44"/>
      <c r="D17" s="84"/>
      <c r="H17"/>
      <c r="K17"/>
    </row>
    <row r="18" spans="1:11" s="81" customFormat="1" x14ac:dyDescent="0.25">
      <c r="A18" s="114" t="s">
        <v>197</v>
      </c>
      <c r="B18" s="28" t="s">
        <v>525</v>
      </c>
      <c r="D18" s="25"/>
      <c r="H18"/>
      <c r="K18"/>
    </row>
    <row r="19" spans="1:11" s="81" customFormat="1" x14ac:dyDescent="0.25">
      <c r="A19" s="114"/>
      <c r="B19" s="28"/>
      <c r="D19" s="25"/>
      <c r="H19"/>
      <c r="K19"/>
    </row>
    <row r="20" spans="1:11" s="81" customFormat="1" x14ac:dyDescent="0.25">
      <c r="A20" s="114" t="s">
        <v>205</v>
      </c>
      <c r="B20" s="28" t="s">
        <v>1179</v>
      </c>
      <c r="D20" s="25"/>
      <c r="H20"/>
      <c r="K20"/>
    </row>
  </sheetData>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AFDF6-8BEE-4BED-886E-AE852561E31A}">
  <sheetPr>
    <tabColor rgb="FFFFFF00"/>
  </sheetPr>
  <dimension ref="A1:AC25"/>
  <sheetViews>
    <sheetView workbookViewId="0">
      <selection activeCell="F6" sqref="F6:H8"/>
    </sheetView>
  </sheetViews>
  <sheetFormatPr defaultRowHeight="15" x14ac:dyDescent="0.25"/>
  <cols>
    <col min="1" max="1" width="12.7109375" customWidth="1"/>
    <col min="2" max="2" width="14" customWidth="1"/>
    <col min="3" max="3" width="18.5703125" customWidth="1"/>
    <col min="4" max="4" width="14.140625" style="25" customWidth="1"/>
    <col min="5" max="5" width="6.85546875" style="25" customWidth="1"/>
    <col min="6" max="6" width="11" customWidth="1"/>
    <col min="7" max="7" width="18.5703125" customWidth="1"/>
    <col min="8" max="8" width="21.28515625" customWidth="1"/>
    <col min="12" max="12" width="11.85546875" customWidth="1"/>
    <col min="13" max="13" width="14.85546875" customWidth="1"/>
    <col min="17" max="17" width="11.7109375" customWidth="1"/>
    <col min="18" max="18" width="13.5703125" customWidth="1"/>
    <col min="22" max="22" width="12.5703125" customWidth="1"/>
    <col min="23" max="23" width="14.5703125" customWidth="1"/>
    <col min="25" max="25" width="6.140625" customWidth="1"/>
    <col min="27" max="27" width="11.42578125" customWidth="1"/>
    <col min="28" max="28" width="15.7109375" customWidth="1"/>
  </cols>
  <sheetData>
    <row r="1" spans="1:29" x14ac:dyDescent="0.25">
      <c r="A1" s="24" t="s">
        <v>153</v>
      </c>
    </row>
    <row r="2" spans="1:29" x14ac:dyDescent="0.25">
      <c r="A2" t="s">
        <v>154</v>
      </c>
    </row>
    <row r="3" spans="1:29" x14ac:dyDescent="0.25">
      <c r="A3" s="24"/>
    </row>
    <row r="4" spans="1:29" x14ac:dyDescent="0.25">
      <c r="A4" s="28" t="s">
        <v>1180</v>
      </c>
      <c r="F4" t="s">
        <v>1181</v>
      </c>
      <c r="K4" t="s">
        <v>1182</v>
      </c>
      <c r="N4" s="25"/>
      <c r="O4" s="25"/>
    </row>
    <row r="5" spans="1:29" x14ac:dyDescent="0.25">
      <c r="K5" s="34" t="s">
        <v>775</v>
      </c>
      <c r="L5" s="34"/>
      <c r="M5" s="60"/>
      <c r="N5" s="60"/>
      <c r="O5" s="34"/>
      <c r="P5" s="34" t="s">
        <v>768</v>
      </c>
      <c r="U5" s="34" t="s">
        <v>775</v>
      </c>
      <c r="V5" s="34"/>
      <c r="W5" s="60"/>
      <c r="X5" s="60"/>
      <c r="Y5" s="34"/>
      <c r="Z5" s="34" t="s">
        <v>768</v>
      </c>
    </row>
    <row r="6" spans="1:29" x14ac:dyDescent="0.25">
      <c r="A6" s="29" t="s">
        <v>158</v>
      </c>
      <c r="B6" s="27" t="s">
        <v>1183</v>
      </c>
      <c r="C6" s="27" t="s">
        <v>1184</v>
      </c>
      <c r="D6" s="27" t="s">
        <v>1185</v>
      </c>
      <c r="F6" s="29" t="s">
        <v>158</v>
      </c>
      <c r="G6" s="27" t="s">
        <v>1183</v>
      </c>
      <c r="H6" s="27" t="s">
        <v>1184</v>
      </c>
      <c r="K6" t="s">
        <v>1184</v>
      </c>
      <c r="L6" s="25"/>
      <c r="P6" t="s">
        <v>1184</v>
      </c>
      <c r="R6" s="25"/>
      <c r="U6" s="48" t="s">
        <v>1186</v>
      </c>
      <c r="V6" s="25"/>
      <c r="Z6" t="s">
        <v>1186</v>
      </c>
      <c r="AB6" s="25"/>
    </row>
    <row r="7" spans="1:29" x14ac:dyDescent="0.25">
      <c r="A7" s="30" t="s">
        <v>1187</v>
      </c>
      <c r="B7" s="85">
        <f>X13</f>
        <v>788.56617405582926</v>
      </c>
      <c r="C7" s="85">
        <f>N13</f>
        <v>997.46548883192975</v>
      </c>
      <c r="D7" s="25" t="s">
        <v>1188</v>
      </c>
      <c r="F7" s="30" t="s">
        <v>1187</v>
      </c>
      <c r="G7" s="84">
        <f>ROUND(AC13,-1)</f>
        <v>930</v>
      </c>
      <c r="H7" s="84">
        <f>ROUND(S13,-1)</f>
        <v>1190</v>
      </c>
      <c r="J7" s="85"/>
      <c r="K7" s="27" t="s">
        <v>158</v>
      </c>
      <c r="L7" s="27" t="s">
        <v>1189</v>
      </c>
      <c r="M7" s="27" t="s">
        <v>1190</v>
      </c>
      <c r="N7" s="27" t="s">
        <v>1191</v>
      </c>
      <c r="O7" s="25"/>
      <c r="P7" s="27" t="s">
        <v>158</v>
      </c>
      <c r="Q7" s="27" t="s">
        <v>1189</v>
      </c>
      <c r="R7" s="27" t="s">
        <v>1190</v>
      </c>
      <c r="S7" s="27" t="s">
        <v>1191</v>
      </c>
      <c r="U7" s="27" t="s">
        <v>158</v>
      </c>
      <c r="V7" s="251" t="s">
        <v>1189</v>
      </c>
      <c r="W7" s="27" t="s">
        <v>1190</v>
      </c>
      <c r="X7" s="27" t="s">
        <v>1191</v>
      </c>
      <c r="Y7" s="25"/>
      <c r="Z7" s="27" t="s">
        <v>158</v>
      </c>
      <c r="AA7" s="27" t="s">
        <v>1189</v>
      </c>
      <c r="AB7" s="27" t="s">
        <v>1190</v>
      </c>
      <c r="AC7" s="27" t="s">
        <v>1191</v>
      </c>
    </row>
    <row r="8" spans="1:29" x14ac:dyDescent="0.25">
      <c r="A8" s="29" t="s">
        <v>1192</v>
      </c>
      <c r="B8" s="204">
        <f>V25</f>
        <v>1901.5979689067201</v>
      </c>
      <c r="C8" s="204">
        <f>L25</f>
        <v>2181.1799331691873</v>
      </c>
      <c r="D8" s="27" t="s">
        <v>1193</v>
      </c>
      <c r="F8" s="29" t="s">
        <v>1192</v>
      </c>
      <c r="G8" s="262">
        <f>ROUND(AA25,-1)</f>
        <v>1740</v>
      </c>
      <c r="H8" s="262">
        <f>ROUND(Q25,-1)</f>
        <v>2000</v>
      </c>
      <c r="K8" s="25">
        <v>2019</v>
      </c>
      <c r="L8" s="48">
        <v>5596359</v>
      </c>
      <c r="M8" s="25">
        <v>5904</v>
      </c>
      <c r="N8" s="85">
        <f>L8/M8</f>
        <v>947.89278455284557</v>
      </c>
      <c r="O8" s="85"/>
      <c r="P8" s="25">
        <v>2019</v>
      </c>
      <c r="Q8" s="48">
        <f>L8*'Inflation adjustment'!$F$20/'Inflation adjustment'!$F14</f>
        <v>7047366.6104859244</v>
      </c>
      <c r="R8" s="25">
        <f>M8</f>
        <v>5904</v>
      </c>
      <c r="S8" s="85">
        <f>Q8/R8</f>
        <v>1193.6596562476159</v>
      </c>
      <c r="U8" s="25">
        <v>2019</v>
      </c>
      <c r="V8" s="48">
        <v>2567396</v>
      </c>
      <c r="W8" s="25">
        <v>1731</v>
      </c>
      <c r="X8" s="85">
        <f>V8/W8</f>
        <v>1483.1865973425765</v>
      </c>
      <c r="Y8" s="85"/>
      <c r="Z8" s="25">
        <v>2019</v>
      </c>
      <c r="AA8" s="230">
        <f>V8*'Inflation adjustment'!$F$20/'Inflation adjustment'!$F14</f>
        <v>3233062.9336493816</v>
      </c>
      <c r="AB8" s="25">
        <f t="shared" ref="AB8:AB12" si="0">W8</f>
        <v>1731</v>
      </c>
      <c r="AC8" s="85">
        <f>AA8/AB8</f>
        <v>1867.742884834998</v>
      </c>
    </row>
    <row r="9" spans="1:29" x14ac:dyDescent="0.25">
      <c r="A9" s="255" t="s">
        <v>1194</v>
      </c>
      <c r="B9" s="45">
        <f>(B8-B7)/B7</f>
        <v>1.4114627680848126</v>
      </c>
      <c r="C9" s="45">
        <f>(C8-C7)/C7</f>
        <v>1.1867222050192761</v>
      </c>
      <c r="D9" s="81"/>
      <c r="E9" s="81"/>
      <c r="F9" s="77"/>
      <c r="G9" s="45">
        <f>(G8-G7)/G7</f>
        <v>0.87096774193548387</v>
      </c>
      <c r="H9" s="45">
        <f>(H8-H7)/H7</f>
        <v>0.68067226890756305</v>
      </c>
      <c r="K9" s="25">
        <v>2020</v>
      </c>
      <c r="L9" s="48">
        <v>5552981</v>
      </c>
      <c r="M9" s="25">
        <v>4810</v>
      </c>
      <c r="N9" s="85">
        <f t="shared" ref="N9:N12" si="1">L9/M9</f>
        <v>1154.4659043659044</v>
      </c>
      <c r="O9" s="85"/>
      <c r="P9" s="25">
        <v>2020</v>
      </c>
      <c r="Q9" s="48">
        <f>L9*'Inflation adjustment'!$F$20/'Inflation adjustment'!$F15</f>
        <v>6907524.649582128</v>
      </c>
      <c r="R9" s="25">
        <f t="shared" ref="R9:R12" si="2">M9</f>
        <v>4810</v>
      </c>
      <c r="S9" s="85">
        <f t="shared" ref="S9:S12" si="3">Q9/R9</f>
        <v>1436.0758107239351</v>
      </c>
      <c r="U9" s="25">
        <v>2020</v>
      </c>
      <c r="V9" s="48">
        <v>238863</v>
      </c>
      <c r="W9" s="25">
        <v>375</v>
      </c>
      <c r="X9" s="85">
        <f>V9/W9</f>
        <v>636.96799999999996</v>
      </c>
      <c r="Y9" s="85"/>
      <c r="Z9" s="25">
        <v>2020</v>
      </c>
      <c r="AA9" s="230">
        <f>V9*'Inflation adjustment'!$F$20/'Inflation adjustment'!$F15</f>
        <v>297129.06641912443</v>
      </c>
      <c r="AB9" s="25">
        <f t="shared" si="0"/>
        <v>375</v>
      </c>
      <c r="AC9" s="85">
        <f>AA9/AB9</f>
        <v>792.34417711766514</v>
      </c>
    </row>
    <row r="10" spans="1:29" x14ac:dyDescent="0.25">
      <c r="A10" s="30"/>
      <c r="B10" s="85"/>
      <c r="C10" s="85"/>
      <c r="F10" s="30"/>
      <c r="G10" s="84"/>
      <c r="H10" s="84"/>
      <c r="K10" s="25">
        <v>2021</v>
      </c>
      <c r="L10" s="48">
        <v>4698012</v>
      </c>
      <c r="M10" s="25">
        <v>3752</v>
      </c>
      <c r="N10" s="85">
        <f t="shared" si="1"/>
        <v>1252.13539445629</v>
      </c>
      <c r="O10" s="85"/>
      <c r="P10" s="25">
        <v>2021</v>
      </c>
      <c r="Q10" s="48">
        <f>L10*'Inflation adjustment'!$F$20/'Inflation adjustment'!$F16</f>
        <v>5581769.4848728636</v>
      </c>
      <c r="R10" s="25">
        <f t="shared" si="2"/>
        <v>3752</v>
      </c>
      <c r="S10" s="85">
        <f t="shared" si="3"/>
        <v>1487.6784341345585</v>
      </c>
      <c r="U10" s="25">
        <v>2021</v>
      </c>
      <c r="V10" s="48">
        <v>1728912</v>
      </c>
      <c r="W10" s="25">
        <v>3377</v>
      </c>
      <c r="X10" s="85">
        <f>V10/W10</f>
        <v>511.96683446846311</v>
      </c>
      <c r="Y10" s="85"/>
      <c r="Z10" s="25">
        <v>2021</v>
      </c>
      <c r="AA10" s="230">
        <f>V10*'Inflation adjustment'!$F$20/'Inflation adjustment'!$F16</f>
        <v>2054142.9531534852</v>
      </c>
      <c r="AB10" s="25">
        <f t="shared" si="0"/>
        <v>3377</v>
      </c>
      <c r="AC10" s="85">
        <f>AA10/AB10</f>
        <v>608.27449012540274</v>
      </c>
    </row>
    <row r="11" spans="1:29" x14ac:dyDescent="0.25">
      <c r="A11" t="s">
        <v>400</v>
      </c>
      <c r="B11" t="s">
        <v>1195</v>
      </c>
      <c r="C11" s="85"/>
      <c r="F11" s="30"/>
      <c r="G11" s="84"/>
      <c r="H11" s="84"/>
      <c r="K11" s="25">
        <v>2022</v>
      </c>
      <c r="L11" s="48">
        <v>2808069</v>
      </c>
      <c r="M11" s="25">
        <v>3890</v>
      </c>
      <c r="N11" s="85">
        <f t="shared" si="1"/>
        <v>721.86863753213368</v>
      </c>
      <c r="O11" s="85"/>
      <c r="P11" s="25">
        <v>2022</v>
      </c>
      <c r="Q11" s="48">
        <f>L11*'Inflation adjustment'!$F$20/'Inflation adjustment'!$F17</f>
        <v>3089091.7909039655</v>
      </c>
      <c r="R11" s="25">
        <f t="shared" si="2"/>
        <v>3890</v>
      </c>
      <c r="S11" s="85">
        <f t="shared" si="3"/>
        <v>794.11100023238191</v>
      </c>
      <c r="U11" s="25">
        <v>2022</v>
      </c>
      <c r="V11" s="48">
        <v>1396735</v>
      </c>
      <c r="W11" s="25">
        <v>1388</v>
      </c>
      <c r="X11" s="85">
        <f>V11/W11</f>
        <v>1006.293227665706</v>
      </c>
      <c r="Y11" s="85"/>
      <c r="Z11" s="25">
        <v>2022</v>
      </c>
      <c r="AA11" s="230">
        <f>V11*'Inflation adjustment'!$F$20/'Inflation adjustment'!$F17</f>
        <v>1536515.8842493722</v>
      </c>
      <c r="AB11" s="25">
        <f t="shared" si="0"/>
        <v>1388</v>
      </c>
      <c r="AC11" s="85">
        <f>AA11/AB11</f>
        <v>1106.9999166061759</v>
      </c>
    </row>
    <row r="12" spans="1:29" x14ac:dyDescent="0.25">
      <c r="B12" t="s">
        <v>1196</v>
      </c>
      <c r="C12" s="85"/>
      <c r="F12" s="30"/>
      <c r="G12" s="84"/>
      <c r="H12" s="84"/>
      <c r="K12" s="25">
        <v>2023</v>
      </c>
      <c r="L12" s="252">
        <v>3137205</v>
      </c>
      <c r="M12" s="25">
        <v>3492</v>
      </c>
      <c r="N12" s="85">
        <f t="shared" si="1"/>
        <v>898.39776632302403</v>
      </c>
      <c r="O12" s="85"/>
      <c r="P12" s="25">
        <v>2023</v>
      </c>
      <c r="Q12" s="48">
        <f>L12*'Inflation adjustment'!$F$20/'Inflation adjustment'!$F18</f>
        <v>3314717.9516872219</v>
      </c>
      <c r="R12" s="25">
        <f t="shared" si="2"/>
        <v>3492</v>
      </c>
      <c r="S12" s="85">
        <f t="shared" si="3"/>
        <v>949.23194492761218</v>
      </c>
      <c r="U12" s="25">
        <v>2023</v>
      </c>
      <c r="V12" s="252">
        <v>1271646</v>
      </c>
      <c r="W12" s="25">
        <v>2264</v>
      </c>
      <c r="X12" s="85">
        <f>V12/W12</f>
        <v>561.68109540636044</v>
      </c>
      <c r="Y12" s="85"/>
      <c r="Z12" s="25">
        <v>2023</v>
      </c>
      <c r="AA12" s="230">
        <f>V12*'Inflation adjustment'!$F$20/'Inflation adjustment'!$F18</f>
        <v>1343599.7406580856</v>
      </c>
      <c r="AB12" s="25">
        <f t="shared" si="0"/>
        <v>2264</v>
      </c>
      <c r="AC12" s="85">
        <f>AA12/AB12</f>
        <v>593.46278297618619</v>
      </c>
    </row>
    <row r="13" spans="1:29" x14ac:dyDescent="0.25">
      <c r="C13" s="85"/>
      <c r="F13" s="30"/>
      <c r="G13" s="84"/>
      <c r="H13" s="84"/>
      <c r="K13" s="92" t="s">
        <v>1197</v>
      </c>
      <c r="L13" s="253"/>
      <c r="M13" s="92"/>
      <c r="N13" s="254">
        <f>SUM(L8:L12)/SUM(M8:M12)</f>
        <v>997.46548883192975</v>
      </c>
      <c r="O13" s="254"/>
      <c r="P13" s="92" t="s">
        <v>1197</v>
      </c>
      <c r="Q13" s="24"/>
      <c r="R13" s="92"/>
      <c r="S13" s="254">
        <f>SUM(Q8:Q12)/SUM(R8:R12)</f>
        <v>1187.3155660715902</v>
      </c>
      <c r="U13" s="92" t="s">
        <v>1197</v>
      </c>
      <c r="V13" s="24"/>
      <c r="W13" s="24"/>
      <c r="X13" s="254">
        <f>SUM(V8:V12)/SUM(W8:W12)</f>
        <v>788.56617405582926</v>
      </c>
      <c r="Y13" s="254"/>
      <c r="Z13" s="92" t="s">
        <v>1197</v>
      </c>
      <c r="AA13" s="24"/>
      <c r="AB13" s="24"/>
      <c r="AC13" s="254">
        <f>SUM(AA8:AA12)/SUM(AB8:AB12)</f>
        <v>926.59557505522162</v>
      </c>
    </row>
    <row r="14" spans="1:29" x14ac:dyDescent="0.25">
      <c r="A14" t="s">
        <v>205</v>
      </c>
      <c r="B14" t="s">
        <v>206</v>
      </c>
    </row>
    <row r="15" spans="1:29" x14ac:dyDescent="0.25">
      <c r="K15" s="25"/>
      <c r="L15" s="48"/>
      <c r="M15" s="25"/>
      <c r="R15" s="25"/>
    </row>
    <row r="16" spans="1:29" x14ac:dyDescent="0.25">
      <c r="K16" t="s">
        <v>1198</v>
      </c>
      <c r="N16" s="25"/>
      <c r="S16" s="25"/>
      <c r="U16" t="s">
        <v>1198</v>
      </c>
      <c r="X16" s="25"/>
    </row>
    <row r="17" spans="11:28" x14ac:dyDescent="0.25">
      <c r="K17" s="34" t="s">
        <v>775</v>
      </c>
      <c r="L17" s="34"/>
      <c r="M17" s="60"/>
      <c r="N17" s="60"/>
      <c r="P17" s="34" t="s">
        <v>768</v>
      </c>
      <c r="Q17" s="34"/>
      <c r="R17" s="60"/>
      <c r="S17" s="60"/>
      <c r="U17" s="34" t="s">
        <v>775</v>
      </c>
      <c r="V17" s="34"/>
      <c r="W17" s="60"/>
      <c r="X17" s="60"/>
      <c r="Z17" s="34" t="s">
        <v>768</v>
      </c>
      <c r="AA17" s="34"/>
      <c r="AB17" s="60"/>
    </row>
    <row r="18" spans="11:28" x14ac:dyDescent="0.25">
      <c r="K18" t="s">
        <v>1184</v>
      </c>
      <c r="L18" s="25"/>
      <c r="P18" t="s">
        <v>1184</v>
      </c>
      <c r="Q18" s="25"/>
      <c r="U18" s="48" t="s">
        <v>1183</v>
      </c>
      <c r="V18" s="25"/>
      <c r="Z18" s="48" t="s">
        <v>1183</v>
      </c>
      <c r="AA18" s="25"/>
    </row>
    <row r="19" spans="11:28" x14ac:dyDescent="0.25">
      <c r="K19" s="27" t="s">
        <v>158</v>
      </c>
      <c r="L19" s="27" t="s">
        <v>1191</v>
      </c>
      <c r="M19" s="27" t="s">
        <v>1190</v>
      </c>
      <c r="N19" s="25"/>
      <c r="P19" s="27" t="s">
        <v>158</v>
      </c>
      <c r="Q19" s="27" t="s">
        <v>1191</v>
      </c>
      <c r="R19" s="27" t="s">
        <v>1190</v>
      </c>
      <c r="S19" s="25"/>
      <c r="U19" s="27" t="s">
        <v>158</v>
      </c>
      <c r="V19" s="27" t="s">
        <v>1191</v>
      </c>
      <c r="W19" s="27" t="s">
        <v>1190</v>
      </c>
      <c r="X19" s="25"/>
      <c r="Z19" s="27" t="s">
        <v>158</v>
      </c>
      <c r="AA19" s="27" t="s">
        <v>1191</v>
      </c>
      <c r="AB19" s="27" t="s">
        <v>1190</v>
      </c>
    </row>
    <row r="20" spans="11:28" x14ac:dyDescent="0.25">
      <c r="K20">
        <v>2026</v>
      </c>
      <c r="L20">
        <v>1182</v>
      </c>
      <c r="M20">
        <v>2569</v>
      </c>
      <c r="P20">
        <v>2026</v>
      </c>
      <c r="Q20" s="85">
        <f>L20*'Inflation adjustment'!$F$20/'Inflation adjustment'!$F21</f>
        <v>1149.8054474708172</v>
      </c>
      <c r="R20">
        <v>2569</v>
      </c>
      <c r="U20">
        <v>2026</v>
      </c>
      <c r="V20">
        <v>1377</v>
      </c>
      <c r="W20">
        <v>2948</v>
      </c>
      <c r="Z20">
        <v>2026</v>
      </c>
      <c r="AA20" s="85">
        <f>V20*'Inflation adjustment'!$F$20/'Inflation adjustment'!$F21</f>
        <v>1339.4941634241245</v>
      </c>
      <c r="AB20">
        <v>2948</v>
      </c>
    </row>
    <row r="21" spans="11:28" x14ac:dyDescent="0.25">
      <c r="K21">
        <v>2027</v>
      </c>
      <c r="L21">
        <v>1272</v>
      </c>
      <c r="M21">
        <v>5971</v>
      </c>
      <c r="P21">
        <v>2027</v>
      </c>
      <c r="Q21" s="85">
        <f>L21*'Inflation adjustment'!$F$20/'Inflation adjustment'!$F22</f>
        <v>1208.3535992217899</v>
      </c>
      <c r="R21">
        <v>5971</v>
      </c>
      <c r="U21">
        <v>2027</v>
      </c>
      <c r="V21">
        <v>1389</v>
      </c>
      <c r="W21">
        <v>6244</v>
      </c>
      <c r="Z21">
        <v>2027</v>
      </c>
      <c r="AA21" s="85">
        <f>V21*'Inflation adjustment'!$F$20/'Inflation adjustment'!$F22</f>
        <v>1319.4993312256809</v>
      </c>
      <c r="AB21">
        <v>6244</v>
      </c>
    </row>
    <row r="22" spans="11:28" x14ac:dyDescent="0.25">
      <c r="K22">
        <v>2028</v>
      </c>
      <c r="L22">
        <v>3203</v>
      </c>
      <c r="M22">
        <v>14507</v>
      </c>
      <c r="P22">
        <v>2028</v>
      </c>
      <c r="Q22" s="85">
        <f>L22*'Inflation adjustment'!$F$20/'Inflation adjustment'!$F23</f>
        <v>2974.3237136331309</v>
      </c>
      <c r="R22">
        <v>14507</v>
      </c>
      <c r="U22">
        <v>2028</v>
      </c>
      <c r="V22">
        <v>1417</v>
      </c>
      <c r="W22">
        <v>12314</v>
      </c>
      <c r="Z22">
        <v>2028</v>
      </c>
      <c r="AA22" s="85">
        <f>V22*'Inflation adjustment'!$F$20/'Inflation adjustment'!$F23</f>
        <v>1315.834124951029</v>
      </c>
      <c r="AB22">
        <v>12314</v>
      </c>
    </row>
    <row r="23" spans="11:28" x14ac:dyDescent="0.25">
      <c r="K23">
        <v>2029</v>
      </c>
      <c r="L23">
        <v>1988</v>
      </c>
      <c r="M23">
        <v>18237</v>
      </c>
      <c r="P23">
        <v>2029</v>
      </c>
      <c r="Q23" s="85">
        <f>L23*'Inflation adjustment'!$F$20/'Inflation adjustment'!$F24</f>
        <v>1804.5629701085659</v>
      </c>
      <c r="R23">
        <v>18237</v>
      </c>
      <c r="U23">
        <v>2029</v>
      </c>
      <c r="V23">
        <v>1616</v>
      </c>
      <c r="W23">
        <v>8833</v>
      </c>
      <c r="Z23">
        <v>2029</v>
      </c>
      <c r="AA23" s="85">
        <f>V23*'Inflation adjustment'!$F$20/'Inflation adjustment'!$F24</f>
        <v>1466.8882091023352</v>
      </c>
      <c r="AB23">
        <v>8833</v>
      </c>
    </row>
    <row r="24" spans="11:28" x14ac:dyDescent="0.25">
      <c r="K24">
        <v>2030</v>
      </c>
      <c r="L24">
        <v>1969</v>
      </c>
      <c r="M24">
        <v>15576</v>
      </c>
      <c r="P24">
        <v>2030</v>
      </c>
      <c r="Q24" s="85">
        <f>L24*'Inflation adjustment'!$F$20/'Inflation adjustment'!$F25</f>
        <v>1747.1321025585412</v>
      </c>
      <c r="R24">
        <v>15576</v>
      </c>
      <c r="U24">
        <v>2030</v>
      </c>
      <c r="V24">
        <v>3289</v>
      </c>
      <c r="W24">
        <v>9541</v>
      </c>
      <c r="Z24">
        <v>2030</v>
      </c>
      <c r="AA24" s="85">
        <f>V24*'Inflation adjustment'!$F$20/'Inflation adjustment'!$F25</f>
        <v>2918.3938472905243</v>
      </c>
      <c r="AB24">
        <v>9541</v>
      </c>
    </row>
    <row r="25" spans="11:28" x14ac:dyDescent="0.25">
      <c r="K25" s="92" t="s">
        <v>1197</v>
      </c>
      <c r="L25" s="254">
        <f>SUMPRODUCT(L20:L24,M20:M24)/SUM(M20:M24)</f>
        <v>2181.1799331691873</v>
      </c>
      <c r="P25" s="92" t="s">
        <v>1197</v>
      </c>
      <c r="Q25" s="254">
        <f>SUMPRODUCT(Q20:Q24,R20:R24)/SUM(R20:R24)</f>
        <v>1995.0859684225013</v>
      </c>
      <c r="U25" s="92" t="s">
        <v>1197</v>
      </c>
      <c r="V25" s="254">
        <f>SUMPRODUCT(V20:V24,W20:W24)/SUM(W20:W24)</f>
        <v>1901.5979689067201</v>
      </c>
      <c r="Z25" s="92" t="s">
        <v>1197</v>
      </c>
      <c r="AA25" s="254">
        <f>SUMPRODUCT(AA20:AA24,AB20:AB24)/SUM(AB20:AB24)</f>
        <v>1735.014625892534</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9A424-11A9-43C7-B4E1-BC76040AB2C6}">
  <sheetPr>
    <tabColor rgb="FFFFFF00"/>
  </sheetPr>
  <dimension ref="A1:F16"/>
  <sheetViews>
    <sheetView workbookViewId="0">
      <selection activeCell="B13" sqref="B13"/>
    </sheetView>
  </sheetViews>
  <sheetFormatPr defaultRowHeight="15" x14ac:dyDescent="0.25"/>
  <cols>
    <col min="1" max="1" width="11.7109375" customWidth="1"/>
  </cols>
  <sheetData>
    <row r="1" spans="1:6" x14ac:dyDescent="0.25">
      <c r="A1" s="24" t="s">
        <v>155</v>
      </c>
    </row>
    <row r="2" spans="1:6" x14ac:dyDescent="0.25">
      <c r="A2" t="s">
        <v>156</v>
      </c>
    </row>
    <row r="4" spans="1:6" x14ac:dyDescent="0.25">
      <c r="B4" t="s">
        <v>1199</v>
      </c>
    </row>
    <row r="5" spans="1:6" x14ac:dyDescent="0.25">
      <c r="A5" s="29" t="s">
        <v>158</v>
      </c>
      <c r="B5" s="27" t="s">
        <v>1079</v>
      </c>
      <c r="C5" s="27" t="s">
        <v>1200</v>
      </c>
      <c r="D5" s="25"/>
      <c r="E5" s="25"/>
      <c r="F5" s="25"/>
    </row>
    <row r="6" spans="1:6" x14ac:dyDescent="0.25">
      <c r="A6" s="30">
        <v>2020</v>
      </c>
      <c r="B6" s="44">
        <v>2.1749999999999998</v>
      </c>
      <c r="C6" s="26">
        <v>2.9</v>
      </c>
      <c r="D6" s="25"/>
      <c r="E6" s="44"/>
      <c r="F6" s="44"/>
    </row>
    <row r="7" spans="1:6" x14ac:dyDescent="0.25">
      <c r="A7" s="30">
        <v>2021</v>
      </c>
      <c r="B7" s="44">
        <v>2.4839999999999995</v>
      </c>
      <c r="C7" s="26">
        <v>3.04</v>
      </c>
      <c r="D7" s="25"/>
      <c r="E7" s="44"/>
      <c r="F7" s="44"/>
    </row>
    <row r="8" spans="1:6" x14ac:dyDescent="0.25">
      <c r="A8" s="30">
        <v>2022</v>
      </c>
      <c r="B8" s="44">
        <v>3.3267499999999997</v>
      </c>
      <c r="C8" s="26">
        <v>3.66</v>
      </c>
      <c r="D8" s="25"/>
      <c r="E8" s="44"/>
      <c r="F8" s="44"/>
    </row>
    <row r="9" spans="1:6" x14ac:dyDescent="0.25">
      <c r="A9" s="30">
        <v>2023</v>
      </c>
      <c r="B9" s="44">
        <v>3.7992499999999998</v>
      </c>
      <c r="C9" s="26">
        <v>4.63</v>
      </c>
      <c r="D9" s="25"/>
      <c r="E9" s="44"/>
      <c r="F9" s="44"/>
    </row>
    <row r="10" spans="1:6" x14ac:dyDescent="0.25">
      <c r="A10" s="30">
        <v>2024</v>
      </c>
      <c r="B10" s="44">
        <v>4.1955000000000009</v>
      </c>
      <c r="C10" s="26">
        <v>4.5299999999999994</v>
      </c>
      <c r="D10" s="25"/>
      <c r="E10" s="44"/>
      <c r="F10" s="44"/>
    </row>
    <row r="11" spans="1:6" x14ac:dyDescent="0.25">
      <c r="A11" s="30">
        <v>2025</v>
      </c>
      <c r="B11" s="44">
        <v>4.3787500000000001</v>
      </c>
      <c r="C11" s="26">
        <v>4.62</v>
      </c>
      <c r="D11" s="25"/>
      <c r="E11" s="44"/>
      <c r="F11" s="44"/>
    </row>
    <row r="12" spans="1:6" x14ac:dyDescent="0.25">
      <c r="A12" s="255" t="s">
        <v>1194</v>
      </c>
      <c r="B12" s="256">
        <f>(B11-B6)/B6</f>
        <v>1.013218390804598</v>
      </c>
      <c r="C12" s="256">
        <f>(C11-C6)/C6</f>
        <v>0.59310344827586214</v>
      </c>
      <c r="D12" s="25"/>
      <c r="E12" s="128"/>
      <c r="F12" s="128"/>
    </row>
    <row r="14" spans="1:6" x14ac:dyDescent="0.25">
      <c r="A14" t="s">
        <v>400</v>
      </c>
      <c r="B14" t="s">
        <v>1201</v>
      </c>
    </row>
    <row r="16" spans="1:6" x14ac:dyDescent="0.25">
      <c r="A16" t="s">
        <v>205</v>
      </c>
      <c r="B16" t="s">
        <v>1202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D1322-9385-47F1-888C-AB7C6FC403C4}">
  <sheetPr>
    <tabColor theme="5" tint="0.59999389629810485"/>
  </sheetPr>
  <dimension ref="A1:P29"/>
  <sheetViews>
    <sheetView workbookViewId="0">
      <selection activeCell="A21" sqref="A21"/>
    </sheetView>
  </sheetViews>
  <sheetFormatPr defaultRowHeight="15" x14ac:dyDescent="0.25"/>
  <cols>
    <col min="2" max="2" width="15.140625" customWidth="1"/>
    <col min="3" max="3" width="15.5703125" customWidth="1"/>
    <col min="4" max="4" width="6.140625" customWidth="1"/>
    <col min="5" max="5" width="14.42578125" customWidth="1"/>
    <col min="6" max="6" width="18.42578125" customWidth="1"/>
    <col min="7" max="7" width="18.5703125" customWidth="1"/>
    <col min="8" max="8" width="6.140625" customWidth="1"/>
    <col min="9" max="9" width="20.7109375" customWidth="1"/>
    <col min="10" max="10" width="27" customWidth="1"/>
    <col min="11" max="11" width="19.42578125" customWidth="1"/>
    <col min="12" max="12" width="21.140625" customWidth="1"/>
    <col min="13" max="13" width="23.28515625" customWidth="1"/>
    <col min="14" max="14" width="15" customWidth="1"/>
    <col min="15" max="15" width="15.28515625" bestFit="1" customWidth="1"/>
    <col min="16" max="16" width="21.5703125" customWidth="1"/>
    <col min="17" max="18" width="15.42578125" customWidth="1"/>
  </cols>
  <sheetData>
    <row r="1" spans="1:16" x14ac:dyDescent="0.25">
      <c r="A1" s="24" t="s">
        <v>283</v>
      </c>
    </row>
    <row r="2" spans="1:16" x14ac:dyDescent="0.25">
      <c r="A2" t="s">
        <v>32</v>
      </c>
    </row>
    <row r="3" spans="1:16" x14ac:dyDescent="0.25">
      <c r="A3" s="24"/>
    </row>
    <row r="4" spans="1:16" x14ac:dyDescent="0.25">
      <c r="A4" t="s">
        <v>284</v>
      </c>
    </row>
    <row r="5" spans="1:16" ht="37.5" customHeight="1" x14ac:dyDescent="0.25">
      <c r="A5" s="29" t="s">
        <v>158</v>
      </c>
      <c r="B5" s="43" t="s">
        <v>285</v>
      </c>
      <c r="C5" s="43" t="s">
        <v>286</v>
      </c>
      <c r="D5" s="43"/>
      <c r="E5" s="43" t="s">
        <v>287</v>
      </c>
      <c r="F5" s="43" t="s">
        <v>288</v>
      </c>
      <c r="G5" s="43" t="s">
        <v>289</v>
      </c>
      <c r="H5" s="33"/>
      <c r="I5" s="43" t="s">
        <v>290</v>
      </c>
      <c r="J5" s="43" t="s">
        <v>291</v>
      </c>
      <c r="K5" s="43" t="s">
        <v>292</v>
      </c>
      <c r="L5" s="43" t="s">
        <v>293</v>
      </c>
      <c r="M5" s="43" t="s">
        <v>294</v>
      </c>
      <c r="N5" s="43" t="s">
        <v>295</v>
      </c>
      <c r="O5" s="43" t="s">
        <v>296</v>
      </c>
      <c r="P5" s="43" t="s">
        <v>297</v>
      </c>
    </row>
    <row r="6" spans="1:16" x14ac:dyDescent="0.25">
      <c r="A6" s="30">
        <v>2010</v>
      </c>
      <c r="B6" s="47">
        <f t="shared" ref="B6:B20" si="0">G6/E6</f>
        <v>2.261487492197628E-2</v>
      </c>
      <c r="C6" s="47">
        <f t="shared" ref="C6:C20" si="1">G6/F6</f>
        <v>2.9370803799704838E-2</v>
      </c>
      <c r="D6" s="47"/>
      <c r="E6" s="48">
        <v>62481</v>
      </c>
      <c r="F6" s="48">
        <v>48109</v>
      </c>
      <c r="G6" s="48">
        <v>1413</v>
      </c>
      <c r="H6" s="48"/>
      <c r="I6" s="48">
        <v>121107</v>
      </c>
      <c r="J6" s="48">
        <v>10260256</v>
      </c>
      <c r="K6" s="48">
        <f>J6/I6*1000</f>
        <v>84720.585928146174</v>
      </c>
      <c r="L6" s="48">
        <v>6372510</v>
      </c>
      <c r="M6" s="48">
        <f>L6/I6*1000</f>
        <v>52618.841190022045</v>
      </c>
      <c r="N6" s="48">
        <f>P6*1000000/O6</f>
        <v>1326.6064453721963</v>
      </c>
      <c r="O6" s="48">
        <v>125717767</v>
      </c>
      <c r="P6" s="48">
        <v>166778</v>
      </c>
    </row>
    <row r="7" spans="1:16" x14ac:dyDescent="0.25">
      <c r="A7" s="30">
        <v>2011</v>
      </c>
      <c r="B7" s="47">
        <f t="shared" si="0"/>
        <v>2.23443511030855E-2</v>
      </c>
      <c r="C7" s="47">
        <f t="shared" si="1"/>
        <v>2.8628910572377025E-2</v>
      </c>
      <c r="D7" s="47"/>
      <c r="E7" s="48">
        <v>63685</v>
      </c>
      <c r="F7" s="48">
        <v>49705</v>
      </c>
      <c r="G7" s="48">
        <v>1423</v>
      </c>
      <c r="H7" s="48"/>
      <c r="I7" s="48">
        <v>122287</v>
      </c>
      <c r="J7" s="48">
        <v>10698857</v>
      </c>
      <c r="K7" s="48">
        <f t="shared" ref="K7:K19" si="2">J7/I7*1000</f>
        <v>87489.733168693318</v>
      </c>
      <c r="L7" s="48">
        <v>6626182</v>
      </c>
      <c r="M7" s="48">
        <f t="shared" ref="M7:M20" si="3">L7/I7*1000</f>
        <v>54185.498049670037</v>
      </c>
      <c r="N7" s="48">
        <f t="shared" ref="N7:N21" si="4">P7*1000000/O7</f>
        <v>1321.6262879660962</v>
      </c>
      <c r="O7" s="48">
        <v>126143072</v>
      </c>
      <c r="P7" s="48">
        <v>166714</v>
      </c>
    </row>
    <row r="8" spans="1:16" x14ac:dyDescent="0.25">
      <c r="A8" s="30">
        <v>2012</v>
      </c>
      <c r="B8" s="47">
        <f t="shared" si="0"/>
        <v>2.1159826818708458E-2</v>
      </c>
      <c r="C8" s="47">
        <f t="shared" si="1"/>
        <v>2.6981843629718907E-2</v>
      </c>
      <c r="D8" s="47"/>
      <c r="E8" s="48">
        <v>65596</v>
      </c>
      <c r="F8" s="48">
        <v>51442</v>
      </c>
      <c r="G8" s="48">
        <v>1388</v>
      </c>
      <c r="H8" s="48"/>
      <c r="I8" s="48">
        <v>124416</v>
      </c>
      <c r="J8" s="48">
        <v>11047363</v>
      </c>
      <c r="K8" s="48">
        <f>J8/I8*1000</f>
        <v>88793.748392489724</v>
      </c>
      <c r="L8" s="48">
        <v>6928124</v>
      </c>
      <c r="M8" s="48">
        <f t="shared" si="3"/>
        <v>55685.153034979419</v>
      </c>
      <c r="N8" s="48">
        <f t="shared" si="4"/>
        <v>1287.3697141323328</v>
      </c>
      <c r="O8" s="48">
        <v>126832252</v>
      </c>
      <c r="P8" s="48">
        <v>163280</v>
      </c>
    </row>
    <row r="9" spans="1:16" x14ac:dyDescent="0.25">
      <c r="A9" s="30">
        <v>2013</v>
      </c>
      <c r="B9" s="47">
        <f t="shared" si="0"/>
        <v>2.2293992223755173E-2</v>
      </c>
      <c r="C9" s="47">
        <f t="shared" si="1"/>
        <v>2.7827788649706458E-2</v>
      </c>
      <c r="D9" s="47"/>
      <c r="E9" s="48">
        <v>63784</v>
      </c>
      <c r="F9" s="48">
        <v>51100</v>
      </c>
      <c r="G9" s="48">
        <v>1422</v>
      </c>
      <c r="H9" s="48"/>
      <c r="I9" s="48">
        <v>125670</v>
      </c>
      <c r="J9" s="48">
        <v>11388233</v>
      </c>
      <c r="K9" s="48">
        <f t="shared" si="2"/>
        <v>90620.140049335561</v>
      </c>
      <c r="L9" s="48">
        <v>7113994</v>
      </c>
      <c r="M9" s="48">
        <f t="shared" si="3"/>
        <v>56608.530277711463</v>
      </c>
      <c r="N9" s="48">
        <f t="shared" si="4"/>
        <v>1323.6425811758947</v>
      </c>
      <c r="O9" s="48">
        <v>127776941</v>
      </c>
      <c r="P9" s="48">
        <v>169131</v>
      </c>
    </row>
    <row r="10" spans="1:16" x14ac:dyDescent="0.25">
      <c r="A10" s="30">
        <v>2014</v>
      </c>
      <c r="B10" s="47">
        <f t="shared" si="0"/>
        <v>2.2189990579720979E-2</v>
      </c>
      <c r="C10" s="47">
        <f t="shared" si="1"/>
        <v>2.7740910365454716E-2</v>
      </c>
      <c r="D10" s="47"/>
      <c r="E10" s="48">
        <v>66877</v>
      </c>
      <c r="F10" s="48">
        <v>53495</v>
      </c>
      <c r="G10" s="48">
        <v>1484</v>
      </c>
      <c r="H10" s="48"/>
      <c r="I10" s="48">
        <v>127006</v>
      </c>
      <c r="J10" s="48">
        <v>11874450</v>
      </c>
      <c r="K10" s="48">
        <f t="shared" si="2"/>
        <v>93495.189203659669</v>
      </c>
      <c r="L10" s="48">
        <v>7476332</v>
      </c>
      <c r="M10" s="48">
        <f t="shared" si="3"/>
        <v>58865.974835834531</v>
      </c>
      <c r="N10" s="48">
        <f t="shared" si="4"/>
        <v>1369.1140618624947</v>
      </c>
      <c r="O10" s="48">
        <v>128680294</v>
      </c>
      <c r="P10" s="48">
        <v>176178</v>
      </c>
    </row>
    <row r="11" spans="1:16" x14ac:dyDescent="0.25">
      <c r="A11" s="30">
        <v>2015</v>
      </c>
      <c r="B11" s="47">
        <f t="shared" si="0"/>
        <v>2.0968877016100076E-2</v>
      </c>
      <c r="C11" s="47">
        <f t="shared" si="1"/>
        <v>2.6081674943727894E-2</v>
      </c>
      <c r="D11" s="47"/>
      <c r="E11" s="48">
        <v>69627</v>
      </c>
      <c r="F11" s="48">
        <v>55978</v>
      </c>
      <c r="G11" s="48">
        <v>1460</v>
      </c>
      <c r="H11" s="48"/>
      <c r="I11" s="48">
        <v>128437</v>
      </c>
      <c r="J11" s="48">
        <v>12297438</v>
      </c>
      <c r="K11" s="48">
        <f t="shared" si="2"/>
        <v>95746.848649532447</v>
      </c>
      <c r="L11" s="48">
        <v>7859482</v>
      </c>
      <c r="M11" s="48">
        <f t="shared" si="3"/>
        <v>61193.28542398219</v>
      </c>
      <c r="N11" s="48">
        <f t="shared" si="4"/>
        <v>1368.3207688874375</v>
      </c>
      <c r="O11" s="48">
        <v>129811667</v>
      </c>
      <c r="P11" s="48">
        <v>177624</v>
      </c>
    </row>
    <row r="12" spans="1:16" x14ac:dyDescent="0.25">
      <c r="A12" s="30">
        <v>2016</v>
      </c>
      <c r="B12" s="47">
        <f t="shared" si="0"/>
        <v>1.9339976427729562E-2</v>
      </c>
      <c r="C12" s="47">
        <f t="shared" si="1"/>
        <v>2.5195861178482316E-2</v>
      </c>
      <c r="D12" s="47"/>
      <c r="E12" s="48">
        <v>74664</v>
      </c>
      <c r="F12" s="48">
        <v>57311</v>
      </c>
      <c r="G12" s="48">
        <v>1444</v>
      </c>
      <c r="H12" s="48"/>
      <c r="I12" s="48">
        <v>129549</v>
      </c>
      <c r="J12" s="48">
        <v>12726849</v>
      </c>
      <c r="K12" s="48">
        <f t="shared" si="2"/>
        <v>98239.654493666487</v>
      </c>
      <c r="L12" s="48">
        <v>8091239</v>
      </c>
      <c r="M12" s="48">
        <f t="shared" si="3"/>
        <v>62456.977668681349</v>
      </c>
      <c r="N12" s="48">
        <f t="shared" si="4"/>
        <v>1351.0241143044971</v>
      </c>
      <c r="O12" s="48">
        <v>131068719</v>
      </c>
      <c r="P12" s="48">
        <v>177077</v>
      </c>
    </row>
    <row r="13" spans="1:16" x14ac:dyDescent="0.25">
      <c r="A13" s="30">
        <v>2017</v>
      </c>
      <c r="B13" s="47">
        <f t="shared" si="0"/>
        <v>1.9300558628844822E-2</v>
      </c>
      <c r="C13" s="47">
        <f t="shared" si="1"/>
        <v>2.3643023643023644E-2</v>
      </c>
      <c r="D13" s="47"/>
      <c r="E13" s="48">
        <v>73573</v>
      </c>
      <c r="F13" s="48">
        <v>60060</v>
      </c>
      <c r="G13" s="48">
        <v>1420</v>
      </c>
      <c r="H13" s="48"/>
      <c r="I13" s="48">
        <v>130001</v>
      </c>
      <c r="J13" s="48">
        <v>13290626</v>
      </c>
      <c r="K13" s="48">
        <f t="shared" si="2"/>
        <v>102234.79819386004</v>
      </c>
      <c r="L13" s="48">
        <v>8474410</v>
      </c>
      <c r="M13" s="48">
        <f t="shared" si="3"/>
        <v>65187.267790247774</v>
      </c>
      <c r="N13" s="48">
        <f t="shared" si="4"/>
        <v>1340.0320883306529</v>
      </c>
      <c r="O13" s="48">
        <v>132579661</v>
      </c>
      <c r="P13" s="48">
        <v>177661</v>
      </c>
    </row>
    <row r="14" spans="1:16" x14ac:dyDescent="0.25">
      <c r="A14" s="30">
        <v>2018</v>
      </c>
      <c r="B14" s="47">
        <f t="shared" si="0"/>
        <v>1.9024607363133463E-2</v>
      </c>
      <c r="C14" s="47">
        <f t="shared" si="1"/>
        <v>2.443486214556383E-2</v>
      </c>
      <c r="D14" s="47"/>
      <c r="E14" s="48">
        <v>78635</v>
      </c>
      <c r="F14" s="48">
        <v>61224</v>
      </c>
      <c r="G14" s="48">
        <v>1496</v>
      </c>
      <c r="H14" s="48"/>
      <c r="I14" s="48">
        <v>131439</v>
      </c>
      <c r="J14" s="48">
        <v>13934442</v>
      </c>
      <c r="K14" s="48">
        <f t="shared" si="2"/>
        <v>106014.5162394723</v>
      </c>
      <c r="L14" s="48">
        <v>8899824</v>
      </c>
      <c r="M14" s="48">
        <f t="shared" si="3"/>
        <v>67710.679478693535</v>
      </c>
      <c r="N14" s="48">
        <f t="shared" si="4"/>
        <v>1411.8190599942252</v>
      </c>
      <c r="O14" s="48">
        <v>133893220</v>
      </c>
      <c r="P14" s="48">
        <v>189033</v>
      </c>
    </row>
    <row r="15" spans="1:16" x14ac:dyDescent="0.25">
      <c r="A15" s="30">
        <v>2019</v>
      </c>
      <c r="B15" s="47">
        <f t="shared" si="0"/>
        <v>1.7766619997103269E-2</v>
      </c>
      <c r="C15" s="47">
        <f t="shared" si="1"/>
        <v>2.3351735516212956E-2</v>
      </c>
      <c r="D15" s="47"/>
      <c r="E15" s="48">
        <v>82852</v>
      </c>
      <c r="F15" s="48">
        <v>63036</v>
      </c>
      <c r="G15" s="48">
        <v>1472</v>
      </c>
      <c r="H15" s="48"/>
      <c r="I15" s="48">
        <v>132242</v>
      </c>
      <c r="J15" s="48">
        <v>14437543</v>
      </c>
      <c r="K15" s="48">
        <f t="shared" si="2"/>
        <v>109175.17127690144</v>
      </c>
      <c r="L15" s="48">
        <v>9325144</v>
      </c>
      <c r="M15" s="48">
        <f t="shared" si="3"/>
        <v>70515.751425417038</v>
      </c>
      <c r="N15" s="48">
        <f t="shared" si="4"/>
        <v>1385.8525787082763</v>
      </c>
      <c r="O15" s="48">
        <v>135249595</v>
      </c>
      <c r="P15" s="48">
        <v>187436</v>
      </c>
    </row>
    <row r="16" spans="1:16" x14ac:dyDescent="0.25">
      <c r="A16" s="30">
        <v>2020</v>
      </c>
      <c r="B16" s="47">
        <f t="shared" si="0"/>
        <v>1.7972306525037937E-2</v>
      </c>
      <c r="C16" s="47">
        <f t="shared" si="1"/>
        <v>2.4717122639971306E-2</v>
      </c>
      <c r="D16" s="47"/>
      <c r="E16" s="48">
        <v>84352</v>
      </c>
      <c r="F16" s="48">
        <v>61334</v>
      </c>
      <c r="G16" s="48">
        <v>1516</v>
      </c>
      <c r="H16" s="48"/>
      <c r="I16" s="48">
        <v>131234</v>
      </c>
      <c r="J16" s="48">
        <v>14231353</v>
      </c>
      <c r="K16" s="48">
        <f t="shared" si="2"/>
        <v>108442.57585686636</v>
      </c>
      <c r="L16" s="48">
        <v>9465343</v>
      </c>
      <c r="M16" s="48">
        <f t="shared" si="3"/>
        <v>72125.691512870137</v>
      </c>
      <c r="N16" s="48">
        <f t="shared" si="4"/>
        <v>1409.5725032024366</v>
      </c>
      <c r="O16" s="48">
        <v>136681866</v>
      </c>
      <c r="P16" s="48">
        <v>192663</v>
      </c>
    </row>
    <row r="17" spans="1:16" x14ac:dyDescent="0.25">
      <c r="A17" s="30">
        <v>2021</v>
      </c>
      <c r="B17" s="47">
        <f t="shared" si="0"/>
        <v>1.7739500411748557E-2</v>
      </c>
      <c r="C17" s="47">
        <f t="shared" si="1"/>
        <v>2.3174157303370788E-2</v>
      </c>
      <c r="D17" s="47"/>
      <c r="E17" s="48">
        <v>87432</v>
      </c>
      <c r="F17" s="48">
        <v>66928</v>
      </c>
      <c r="G17" s="48">
        <v>1551</v>
      </c>
      <c r="H17" s="48"/>
      <c r="I17" s="48">
        <v>133595</v>
      </c>
      <c r="J17" s="48">
        <v>16119682</v>
      </c>
      <c r="K17" s="48">
        <f t="shared" si="2"/>
        <v>120660.81814439163</v>
      </c>
      <c r="L17" s="48">
        <v>10314974</v>
      </c>
      <c r="M17" s="48">
        <f t="shared" si="3"/>
        <v>77210.778846513713</v>
      </c>
      <c r="N17" s="48">
        <f t="shared" si="4"/>
        <v>1452.0710836782334</v>
      </c>
      <c r="O17" s="48">
        <v>138308656</v>
      </c>
      <c r="P17" s="48">
        <v>200834</v>
      </c>
    </row>
    <row r="18" spans="1:16" x14ac:dyDescent="0.25">
      <c r="A18" s="30">
        <v>2022</v>
      </c>
      <c r="B18" s="47">
        <f t="shared" si="0"/>
        <v>1.7903683924981116E-2</v>
      </c>
      <c r="C18" s="47">
        <f t="shared" si="1"/>
        <v>2.3063324791361188E-2</v>
      </c>
      <c r="D18" s="47"/>
      <c r="E18" s="48">
        <v>94003</v>
      </c>
      <c r="F18" s="48">
        <v>72973</v>
      </c>
      <c r="G18" s="48">
        <v>1683</v>
      </c>
      <c r="H18" s="48"/>
      <c r="I18" s="48">
        <v>134090</v>
      </c>
      <c r="J18" s="48">
        <v>17690013</v>
      </c>
      <c r="K18" s="48">
        <f t="shared" si="2"/>
        <v>131926.41509433964</v>
      </c>
      <c r="L18" s="48">
        <v>11122769</v>
      </c>
      <c r="M18" s="48">
        <f t="shared" si="3"/>
        <v>82950.026101871874</v>
      </c>
      <c r="N18" s="48">
        <f t="shared" si="4"/>
        <v>1623.0488234594229</v>
      </c>
      <c r="O18" s="48">
        <v>139854080</v>
      </c>
      <c r="P18" s="48">
        <v>226990</v>
      </c>
    </row>
    <row r="19" spans="1:16" x14ac:dyDescent="0.25">
      <c r="A19" s="30">
        <v>2023</v>
      </c>
      <c r="B19" s="47">
        <f t="shared" si="0"/>
        <v>1.7317420558911646E-2</v>
      </c>
      <c r="C19" s="47">
        <f t="shared" si="1"/>
        <v>2.2849218486741492E-2</v>
      </c>
      <c r="D19" s="47"/>
      <c r="E19" s="48">
        <v>101805</v>
      </c>
      <c r="F19" s="48">
        <v>77158</v>
      </c>
      <c r="G19" s="48">
        <v>1763</v>
      </c>
      <c r="H19" s="48"/>
      <c r="I19" s="48">
        <v>134556</v>
      </c>
      <c r="J19" s="48">
        <v>18833150</v>
      </c>
      <c r="K19" s="48">
        <f t="shared" si="2"/>
        <v>139965.14462379974</v>
      </c>
      <c r="L19" s="48">
        <v>11732410</v>
      </c>
      <c r="M19" s="48">
        <f t="shared" si="3"/>
        <v>87193.510508635809</v>
      </c>
      <c r="N19" s="48">
        <f t="shared" si="4"/>
        <v>1642.0491302051041</v>
      </c>
      <c r="O19" s="48">
        <v>141282618</v>
      </c>
      <c r="P19" s="48">
        <v>231993</v>
      </c>
    </row>
    <row r="20" spans="1:16" x14ac:dyDescent="0.25">
      <c r="A20" s="30">
        <v>2024</v>
      </c>
      <c r="B20" s="47">
        <f t="shared" si="0"/>
        <v>1.7589989156198721E-2</v>
      </c>
      <c r="C20" s="47">
        <f t="shared" si="1"/>
        <v>2.3339912141083594E-2</v>
      </c>
      <c r="D20" s="47"/>
      <c r="E20" s="48">
        <v>104207</v>
      </c>
      <c r="F20" s="48">
        <v>78535</v>
      </c>
      <c r="G20" s="48">
        <v>1833</v>
      </c>
      <c r="H20" s="48"/>
      <c r="I20" s="48">
        <v>135760</v>
      </c>
      <c r="J20" s="48">
        <v>19896009</v>
      </c>
      <c r="K20" s="48">
        <f>J20/I20*1000</f>
        <v>146552.8064230996</v>
      </c>
      <c r="L20" s="48">
        <v>12387929</v>
      </c>
      <c r="M20" s="48">
        <f t="shared" si="3"/>
        <v>91248.740424278134</v>
      </c>
      <c r="N20" s="48">
        <f t="shared" si="4"/>
        <v>1707.1401901495426</v>
      </c>
      <c r="O20" s="48">
        <v>143144073</v>
      </c>
      <c r="P20" s="48">
        <v>244367</v>
      </c>
    </row>
    <row r="21" spans="1:16" x14ac:dyDescent="0.25">
      <c r="A21" s="225">
        <v>2025</v>
      </c>
      <c r="B21" s="226">
        <f>G21/E21</f>
        <v>1.8044425870353674E-2</v>
      </c>
      <c r="C21" s="226">
        <f>G21/F21</f>
        <v>2.3811703762192559E-2</v>
      </c>
      <c r="D21" s="226"/>
      <c r="E21" s="227">
        <f>E20*M21/M20</f>
        <v>108452.10356156385</v>
      </c>
      <c r="F21" s="227">
        <f>F20*K21/K20</f>
        <v>82184.624953538558</v>
      </c>
      <c r="G21" s="227">
        <f>G20*N21/N20</f>
        <v>1956.9559432005585</v>
      </c>
      <c r="H21" s="48"/>
      <c r="I21" s="227">
        <f>I20+(I20-I10)/10</f>
        <v>136635.4</v>
      </c>
      <c r="J21" s="48">
        <v>20954857</v>
      </c>
      <c r="K21" s="227">
        <f>J21/I21*1000</f>
        <v>153363.30848374582</v>
      </c>
      <c r="L21" s="48">
        <v>12975712</v>
      </c>
      <c r="M21" s="227">
        <f>L21/I21*1000</f>
        <v>94965.960505110692</v>
      </c>
      <c r="N21" s="48">
        <f t="shared" si="4"/>
        <v>1822.5849105235563</v>
      </c>
      <c r="O21" s="48">
        <v>143795221</v>
      </c>
      <c r="P21" s="48">
        <v>262079</v>
      </c>
    </row>
    <row r="22" spans="1:16" x14ac:dyDescent="0.25">
      <c r="B22" s="46"/>
      <c r="C22" s="46"/>
      <c r="D22" s="45"/>
      <c r="E22" s="46"/>
      <c r="F22" s="46"/>
      <c r="G22" s="46"/>
      <c r="H22" s="45"/>
      <c r="I22" s="45"/>
      <c r="M22" s="46"/>
      <c r="N22" s="46"/>
    </row>
    <row r="23" spans="1:16" x14ac:dyDescent="0.25">
      <c r="K23" s="85"/>
    </row>
    <row r="24" spans="1:16" x14ac:dyDescent="0.25">
      <c r="A24" t="s">
        <v>197</v>
      </c>
      <c r="B24" t="s">
        <v>298</v>
      </c>
    </row>
    <row r="25" spans="1:16" x14ac:dyDescent="0.25">
      <c r="B25" t="s">
        <v>299</v>
      </c>
    </row>
    <row r="26" spans="1:16" x14ac:dyDescent="0.25">
      <c r="B26" t="s">
        <v>300</v>
      </c>
    </row>
    <row r="27" spans="1:16" x14ac:dyDescent="0.25">
      <c r="B27" s="28" t="s">
        <v>301</v>
      </c>
    </row>
    <row r="29" spans="1:16" x14ac:dyDescent="0.25">
      <c r="A29" t="s">
        <v>205</v>
      </c>
      <c r="B29" t="s">
        <v>302</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E6016-93E1-4EB5-BD00-C3398F578BE9}">
  <sheetPr>
    <tabColor theme="5" tint="0.59999389629810485"/>
  </sheetPr>
  <dimension ref="A1:AD23"/>
  <sheetViews>
    <sheetView workbookViewId="0">
      <selection activeCell="B11" sqref="B11"/>
    </sheetView>
  </sheetViews>
  <sheetFormatPr defaultRowHeight="15" x14ac:dyDescent="0.25"/>
  <cols>
    <col min="1" max="1" width="19" customWidth="1"/>
    <col min="2" max="2" width="17" customWidth="1"/>
    <col min="3" max="3" width="16" customWidth="1"/>
    <col min="4" max="4" width="15.7109375" customWidth="1"/>
    <col min="5" max="5" width="19" customWidth="1"/>
    <col min="6" max="7" width="21" customWidth="1"/>
    <col min="8" max="8" width="17" customWidth="1"/>
    <col min="9" max="9" width="17.5703125" customWidth="1"/>
    <col min="10" max="10" width="18.7109375" customWidth="1"/>
    <col min="11" max="11" width="32" customWidth="1"/>
    <col min="12" max="12" width="21" customWidth="1"/>
    <col min="15" max="15" width="18.5703125" customWidth="1"/>
    <col min="16" max="16" width="13.140625" customWidth="1"/>
    <col min="17" max="17" width="21.5703125" customWidth="1"/>
    <col min="18" max="18" width="14.5703125" customWidth="1"/>
    <col min="19" max="19" width="15.5703125" customWidth="1"/>
    <col min="20" max="20" width="25.140625" customWidth="1"/>
    <col min="21" max="21" width="36" customWidth="1"/>
    <col min="22" max="22" width="37.42578125" customWidth="1"/>
    <col min="23" max="23" width="12" style="25" customWidth="1"/>
    <col min="24" max="24" width="17.42578125" customWidth="1"/>
    <col min="25" max="25" width="26.140625" customWidth="1"/>
    <col min="26" max="26" width="12.42578125" customWidth="1"/>
    <col min="27" max="27" width="14.5703125" customWidth="1"/>
    <col min="28" max="28" width="32.85546875" customWidth="1"/>
    <col min="29" max="29" width="38.5703125" customWidth="1"/>
    <col min="30" max="30" width="40.7109375" customWidth="1"/>
  </cols>
  <sheetData>
    <row r="1" spans="1:30" x14ac:dyDescent="0.25">
      <c r="A1" s="24" t="s">
        <v>303</v>
      </c>
    </row>
    <row r="2" spans="1:30" x14ac:dyDescent="0.25">
      <c r="A2" t="s">
        <v>35</v>
      </c>
    </row>
    <row r="3" spans="1:30" x14ac:dyDescent="0.25">
      <c r="A3" s="24"/>
    </row>
    <row r="4" spans="1:30" x14ac:dyDescent="0.25">
      <c r="A4" t="s">
        <v>284</v>
      </c>
      <c r="E4" t="s">
        <v>304</v>
      </c>
      <c r="O4" t="s">
        <v>305</v>
      </c>
    </row>
    <row r="5" spans="1:30" ht="48.75" customHeight="1" x14ac:dyDescent="0.25">
      <c r="A5" s="32" t="s">
        <v>306</v>
      </c>
      <c r="B5" s="43" t="s">
        <v>307</v>
      </c>
      <c r="D5" s="53" t="s">
        <v>158</v>
      </c>
      <c r="E5" s="43" t="s">
        <v>308</v>
      </c>
      <c r="F5" s="43" t="s">
        <v>309</v>
      </c>
      <c r="G5" s="43" t="s">
        <v>310</v>
      </c>
      <c r="H5" s="43" t="s">
        <v>311</v>
      </c>
      <c r="I5" s="43" t="s">
        <v>312</v>
      </c>
      <c r="J5" s="43" t="s">
        <v>313</v>
      </c>
      <c r="K5" s="43" t="s">
        <v>314</v>
      </c>
      <c r="L5" s="43" t="s">
        <v>315</v>
      </c>
      <c r="M5" s="32"/>
      <c r="O5" s="43" t="s">
        <v>290</v>
      </c>
      <c r="P5" s="43" t="s">
        <v>293</v>
      </c>
      <c r="Q5" s="43" t="s">
        <v>291</v>
      </c>
      <c r="R5" s="43" t="s">
        <v>316</v>
      </c>
      <c r="S5" s="43" t="s">
        <v>317</v>
      </c>
      <c r="T5" s="43" t="s">
        <v>318</v>
      </c>
      <c r="U5" s="43" t="s">
        <v>319</v>
      </c>
      <c r="V5" s="43" t="s">
        <v>320</v>
      </c>
      <c r="X5" s="43" t="s">
        <v>321</v>
      </c>
      <c r="Y5" s="43" t="s">
        <v>322</v>
      </c>
      <c r="Z5" s="43" t="s">
        <v>323</v>
      </c>
      <c r="AA5" s="43" t="s">
        <v>324</v>
      </c>
      <c r="AB5" s="43" t="s">
        <v>325</v>
      </c>
      <c r="AC5" s="43" t="s">
        <v>326</v>
      </c>
      <c r="AD5" s="43" t="s">
        <v>327</v>
      </c>
    </row>
    <row r="6" spans="1:30" x14ac:dyDescent="0.25">
      <c r="A6" s="26" t="s">
        <v>270</v>
      </c>
      <c r="B6" s="228">
        <f>ROUND(E15,-1)</f>
        <v>480</v>
      </c>
      <c r="D6" s="30">
        <v>2019</v>
      </c>
      <c r="E6" s="58">
        <f>'Res bills % expenditure&amp;income'!G15</f>
        <v>1472</v>
      </c>
      <c r="F6" s="58">
        <f>'Res bills % expenditure&amp;income'!E15</f>
        <v>82852</v>
      </c>
      <c r="G6" s="58">
        <v>18678</v>
      </c>
      <c r="H6" s="58">
        <v>5193</v>
      </c>
      <c r="I6" s="58">
        <v>8169</v>
      </c>
      <c r="J6" s="58">
        <v>10742</v>
      </c>
      <c r="K6" s="58">
        <v>4095</v>
      </c>
      <c r="L6" s="58">
        <f>'Res bills % expenditure&amp;income'!F15</f>
        <v>63036</v>
      </c>
      <c r="M6" s="58"/>
      <c r="O6" s="48">
        <f>'Res bills % expenditure&amp;income'!I15</f>
        <v>132242</v>
      </c>
      <c r="P6" s="48">
        <v>9325144</v>
      </c>
      <c r="Q6" s="48">
        <v>14437543</v>
      </c>
      <c r="R6" s="48">
        <v>2210795</v>
      </c>
      <c r="S6" s="58">
        <v>2472390</v>
      </c>
      <c r="T6" s="48">
        <v>1083239</v>
      </c>
      <c r="U6" s="48">
        <v>1383751</v>
      </c>
      <c r="V6" s="105">
        <v>593906</v>
      </c>
      <c r="X6" s="48">
        <f>P6*1000000/($O6*1000)</f>
        <v>70515.751425417038</v>
      </c>
      <c r="Y6" s="48">
        <f t="shared" ref="Y6:AD12" si="0">Q6*1000000/($O6*1000)</f>
        <v>109175.17127690144</v>
      </c>
      <c r="Z6" s="48">
        <f t="shared" si="0"/>
        <v>16717.797673961373</v>
      </c>
      <c r="AA6" s="48">
        <f t="shared" si="0"/>
        <v>18695.951361897129</v>
      </c>
      <c r="AB6" s="48">
        <f t="shared" si="0"/>
        <v>8191.3386064941551</v>
      </c>
      <c r="AC6" s="48">
        <f t="shared" si="0"/>
        <v>10463.778527245504</v>
      </c>
      <c r="AD6" s="48">
        <f t="shared" si="0"/>
        <v>4491.0542792758733</v>
      </c>
    </row>
    <row r="7" spans="1:30" x14ac:dyDescent="0.25">
      <c r="A7" s="26" t="s">
        <v>275</v>
      </c>
      <c r="B7" s="228">
        <f>ROUND(G15, -1)</f>
        <v>6220</v>
      </c>
      <c r="D7" s="30">
        <v>2020</v>
      </c>
      <c r="E7" s="58">
        <f>'Res bills % expenditure&amp;income'!G16</f>
        <v>1516</v>
      </c>
      <c r="F7" s="58">
        <f>'Res bills % expenditure&amp;income'!E16</f>
        <v>84352</v>
      </c>
      <c r="G7" s="58">
        <v>19374</v>
      </c>
      <c r="H7" s="58">
        <v>5177</v>
      </c>
      <c r="I7" s="58">
        <v>7316</v>
      </c>
      <c r="J7" s="58">
        <v>9826</v>
      </c>
      <c r="K7" s="58">
        <v>3603</v>
      </c>
      <c r="L7" s="58">
        <f>'Res bills % expenditure&amp;income'!F16</f>
        <v>61334</v>
      </c>
      <c r="M7" s="58"/>
      <c r="O7" s="48">
        <f>'Res bills % expenditure&amp;income'!I16</f>
        <v>131234</v>
      </c>
      <c r="P7" s="48">
        <v>9465343</v>
      </c>
      <c r="Q7" s="48">
        <v>14231353</v>
      </c>
      <c r="R7" s="48">
        <v>2331920</v>
      </c>
      <c r="S7" s="58">
        <v>2354165</v>
      </c>
      <c r="T7" s="48">
        <v>1201722</v>
      </c>
      <c r="U7" s="48">
        <v>1171726</v>
      </c>
      <c r="V7" s="48">
        <v>500566</v>
      </c>
      <c r="X7" s="48">
        <f t="shared" ref="X7:X11" si="1">P7*1000000/($O7*1000)</f>
        <v>72125.691512870137</v>
      </c>
      <c r="Y7" s="48">
        <f t="shared" si="0"/>
        <v>108442.57585686636</v>
      </c>
      <c r="Z7" s="48">
        <f t="shared" si="0"/>
        <v>17769.175670938934</v>
      </c>
      <c r="AA7" s="48">
        <f t="shared" si="0"/>
        <v>17938.682048859289</v>
      </c>
      <c r="AB7" s="48">
        <f t="shared" si="0"/>
        <v>9157.0934361522159</v>
      </c>
      <c r="AC7" s="48">
        <f t="shared" si="0"/>
        <v>8928.5246201441696</v>
      </c>
      <c r="AD7" s="48">
        <f t="shared" si="0"/>
        <v>3814.3011719523902</v>
      </c>
    </row>
    <row r="8" spans="1:30" x14ac:dyDescent="0.25">
      <c r="A8" s="26" t="s">
        <v>328</v>
      </c>
      <c r="B8" s="228">
        <f>ROUND(H15,-1)</f>
        <v>1400</v>
      </c>
      <c r="D8" s="30">
        <v>2021</v>
      </c>
      <c r="E8" s="58">
        <f>'Res bills % expenditure&amp;income'!G17</f>
        <v>1551</v>
      </c>
      <c r="F8" s="58">
        <f>'Res bills % expenditure&amp;income'!E17</f>
        <v>87432</v>
      </c>
      <c r="G8" s="58">
        <v>20504</v>
      </c>
      <c r="H8" s="58">
        <v>5452</v>
      </c>
      <c r="I8" s="58">
        <v>8289</v>
      </c>
      <c r="J8" s="58">
        <v>10961</v>
      </c>
      <c r="K8" s="58">
        <v>4675</v>
      </c>
      <c r="L8" s="58">
        <f>'Res bills % expenditure&amp;income'!F17</f>
        <v>66928</v>
      </c>
      <c r="M8" s="58"/>
      <c r="O8" s="48">
        <f>'Res bills % expenditure&amp;income'!I17</f>
        <v>133595</v>
      </c>
      <c r="P8" s="48">
        <v>10314974</v>
      </c>
      <c r="Q8" s="48">
        <v>16119682</v>
      </c>
      <c r="R8" s="48">
        <v>2464446</v>
      </c>
      <c r="S8" s="58">
        <v>2642111</v>
      </c>
      <c r="T8" s="48">
        <v>1291454</v>
      </c>
      <c r="U8" s="48">
        <v>1550294</v>
      </c>
      <c r="V8" s="48">
        <v>645929</v>
      </c>
      <c r="X8" s="48">
        <f t="shared" si="1"/>
        <v>77210.778846513713</v>
      </c>
      <c r="Y8" s="48">
        <f t="shared" si="0"/>
        <v>120660.81814439163</v>
      </c>
      <c r="Z8" s="48">
        <f t="shared" si="0"/>
        <v>18447.142482877352</v>
      </c>
      <c r="AA8" s="48">
        <f t="shared" si="0"/>
        <v>19777.020098057561</v>
      </c>
      <c r="AB8" s="48">
        <f t="shared" si="0"/>
        <v>9666.9336427261496</v>
      </c>
      <c r="AC8" s="48">
        <f t="shared" si="0"/>
        <v>11604.431303566751</v>
      </c>
      <c r="AD8" s="48">
        <f t="shared" si="0"/>
        <v>4834.9788539990268</v>
      </c>
    </row>
    <row r="9" spans="1:30" x14ac:dyDescent="0.25">
      <c r="A9" s="26" t="s">
        <v>329</v>
      </c>
      <c r="B9" s="228">
        <f>ROUND(I15,-1)</f>
        <v>2280</v>
      </c>
      <c r="D9" s="30">
        <v>2022</v>
      </c>
      <c r="E9" s="58">
        <f>'Res bills % expenditure&amp;income'!G18</f>
        <v>1683</v>
      </c>
      <c r="F9" s="58">
        <f>'Res bills % expenditure&amp;income'!E18</f>
        <v>94003</v>
      </c>
      <c r="G9" s="58">
        <v>21920</v>
      </c>
      <c r="H9" s="58">
        <v>5856</v>
      </c>
      <c r="I9" s="58">
        <v>9343</v>
      </c>
      <c r="J9" s="58">
        <v>12295</v>
      </c>
      <c r="K9" s="58">
        <v>4617</v>
      </c>
      <c r="L9" s="58">
        <f>'Res bills % expenditure&amp;income'!F18</f>
        <v>72973</v>
      </c>
      <c r="M9" s="58"/>
      <c r="O9" s="48">
        <f>'Res bills % expenditure&amp;income'!I18</f>
        <v>134090</v>
      </c>
      <c r="P9" s="48">
        <v>11122769</v>
      </c>
      <c r="Q9" s="48">
        <v>17690013</v>
      </c>
      <c r="R9" s="48">
        <v>2679332</v>
      </c>
      <c r="S9" s="58">
        <v>2819064</v>
      </c>
      <c r="T9" s="48">
        <v>1394007</v>
      </c>
      <c r="U9" s="48">
        <v>1812691</v>
      </c>
      <c r="V9" s="48">
        <v>826285</v>
      </c>
      <c r="X9" s="48">
        <f t="shared" si="1"/>
        <v>82950.026101871874</v>
      </c>
      <c r="Y9" s="48">
        <f t="shared" si="0"/>
        <v>131926.41509433961</v>
      </c>
      <c r="Z9" s="48">
        <f t="shared" si="0"/>
        <v>19981.594451487807</v>
      </c>
      <c r="AA9" s="48">
        <f t="shared" si="0"/>
        <v>21023.670668953688</v>
      </c>
      <c r="AB9" s="48">
        <f t="shared" si="0"/>
        <v>10396.054888507719</v>
      </c>
      <c r="AC9" s="48">
        <f t="shared" si="0"/>
        <v>13518.465209933627</v>
      </c>
      <c r="AD9" s="48">
        <f t="shared" si="0"/>
        <v>6162.1672011335668</v>
      </c>
    </row>
    <row r="10" spans="1:30" x14ac:dyDescent="0.25">
      <c r="A10" s="26" t="s">
        <v>330</v>
      </c>
      <c r="B10" s="228">
        <f>ROUND(J15,-1)</f>
        <v>2860</v>
      </c>
      <c r="D10" s="30">
        <v>2023</v>
      </c>
      <c r="E10" s="58">
        <f>'Res bills % expenditure&amp;income'!G19</f>
        <v>1763</v>
      </c>
      <c r="F10" s="58">
        <f>'Res bills % expenditure&amp;income'!E19</f>
        <v>101805</v>
      </c>
      <c r="G10" s="58">
        <v>22993</v>
      </c>
      <c r="H10" s="58">
        <v>6159</v>
      </c>
      <c r="I10" s="58">
        <v>9985</v>
      </c>
      <c r="J10" s="58">
        <v>13174</v>
      </c>
      <c r="K10" s="58">
        <v>5137</v>
      </c>
      <c r="L10" s="58">
        <f>'Res bills % expenditure&amp;income'!F19</f>
        <v>77158</v>
      </c>
      <c r="M10" s="58"/>
      <c r="O10" s="48">
        <f>'Res bills % expenditure&amp;income'!I19</f>
        <v>134556</v>
      </c>
      <c r="P10" s="48">
        <v>11732410</v>
      </c>
      <c r="Q10" s="48">
        <v>18833150</v>
      </c>
      <c r="R10" s="48">
        <v>2940731</v>
      </c>
      <c r="S10" s="58">
        <v>3060445</v>
      </c>
      <c r="T10" s="48">
        <v>1438287</v>
      </c>
      <c r="U10" s="48">
        <v>1832217</v>
      </c>
      <c r="V10" s="48">
        <v>768216</v>
      </c>
      <c r="X10" s="48">
        <f t="shared" si="1"/>
        <v>87193.510508635809</v>
      </c>
      <c r="Y10" s="48">
        <f t="shared" si="0"/>
        <v>139965.14462379974</v>
      </c>
      <c r="Z10" s="48">
        <f t="shared" si="0"/>
        <v>21855.071494396387</v>
      </c>
      <c r="AA10" s="48">
        <f t="shared" si="0"/>
        <v>22744.767977644995</v>
      </c>
      <c r="AB10" s="48">
        <f t="shared" si="0"/>
        <v>10689.133149023455</v>
      </c>
      <c r="AC10" s="48">
        <f t="shared" si="0"/>
        <v>13616.761794345848</v>
      </c>
      <c r="AD10" s="48">
        <f t="shared" si="0"/>
        <v>5709.2660305003119</v>
      </c>
    </row>
    <row r="11" spans="1:30" x14ac:dyDescent="0.25">
      <c r="A11" s="26" t="s">
        <v>331</v>
      </c>
      <c r="B11" s="228">
        <f>ROUND(K15,-1)</f>
        <v>1020</v>
      </c>
      <c r="D11" s="30">
        <v>2024</v>
      </c>
      <c r="E11" s="58">
        <f>'Res bills % expenditure&amp;income'!G20</f>
        <v>1833</v>
      </c>
      <c r="F11" s="58">
        <f>'Res bills % expenditure&amp;income'!E20</f>
        <v>104207</v>
      </c>
      <c r="G11" s="58">
        <v>23815</v>
      </c>
      <c r="H11" s="58">
        <v>6197</v>
      </c>
      <c r="I11" s="58">
        <v>10169</v>
      </c>
      <c r="J11" s="58">
        <v>13318</v>
      </c>
      <c r="K11" s="58">
        <v>5096</v>
      </c>
      <c r="L11" s="58">
        <f>'Res bills % expenditure&amp;income'!F20</f>
        <v>78535</v>
      </c>
      <c r="M11" s="58"/>
      <c r="O11" s="48">
        <f>'Res bills % expenditure&amp;income'!I20</f>
        <v>135760</v>
      </c>
      <c r="P11" s="48">
        <v>12387929</v>
      </c>
      <c r="Q11" s="48">
        <v>19896009</v>
      </c>
      <c r="R11" s="48">
        <v>3146981</v>
      </c>
      <c r="S11" s="58">
        <v>3314991</v>
      </c>
      <c r="T11" s="48">
        <v>1479572</v>
      </c>
      <c r="U11" s="48">
        <v>1833811</v>
      </c>
      <c r="V11" s="48">
        <v>757566</v>
      </c>
      <c r="X11" s="48">
        <f t="shared" si="1"/>
        <v>91248.740424278134</v>
      </c>
      <c r="Y11" s="48">
        <f t="shared" si="0"/>
        <v>146552.8064230996</v>
      </c>
      <c r="Z11" s="48">
        <f t="shared" si="0"/>
        <v>23180.47289334119</v>
      </c>
      <c r="AA11" s="48">
        <f t="shared" si="0"/>
        <v>24418.024454920447</v>
      </c>
      <c r="AB11" s="48">
        <f t="shared" si="0"/>
        <v>10898.438420742486</v>
      </c>
      <c r="AC11" s="48">
        <f t="shared" si="0"/>
        <v>13507.741602828521</v>
      </c>
      <c r="AD11" s="48">
        <f t="shared" si="0"/>
        <v>5580.1856216853266</v>
      </c>
    </row>
    <row r="12" spans="1:30" x14ac:dyDescent="0.25">
      <c r="B12" s="85"/>
      <c r="D12" s="225" t="s">
        <v>332</v>
      </c>
      <c r="E12" s="229">
        <f>'Res bills % expenditure&amp;income'!G21</f>
        <v>1956.9559432005585</v>
      </c>
      <c r="F12" s="229">
        <f>'Res bills % expenditure&amp;income'!E21</f>
        <v>108452.10356156385</v>
      </c>
      <c r="G12" s="229">
        <f>G11*Z12/Z11</f>
        <v>24895.325863983166</v>
      </c>
      <c r="H12" s="229">
        <f>H11*AA12/AA11</f>
        <v>6596.7210242984002</v>
      </c>
      <c r="I12" s="229">
        <f>I11*AB12/AB11</f>
        <v>10447.684034081718</v>
      </c>
      <c r="J12" s="229">
        <f>J11*AC12/AC11</f>
        <v>13601.220838348598</v>
      </c>
      <c r="K12" s="229">
        <f>K11*AD12/AD11</f>
        <v>5118.3911307414519</v>
      </c>
      <c r="L12" s="229">
        <f>'Res bills % expenditure&amp;income'!F21</f>
        <v>82184.624953538558</v>
      </c>
      <c r="M12" s="58"/>
      <c r="O12" s="227">
        <f>'Res bills % expenditure&amp;income'!I21</f>
        <v>136635.4</v>
      </c>
      <c r="P12" s="48">
        <v>12975712</v>
      </c>
      <c r="Q12" s="48">
        <v>20954857</v>
      </c>
      <c r="R12" s="57">
        <v>3310951</v>
      </c>
      <c r="S12" s="58">
        <v>3551570</v>
      </c>
      <c r="T12" s="57">
        <v>1529922</v>
      </c>
      <c r="U12" s="57">
        <v>1884885</v>
      </c>
      <c r="V12" s="57">
        <v>765801</v>
      </c>
      <c r="X12" s="227">
        <f>P12*1000000/($O12*1000)</f>
        <v>94965.960505110677</v>
      </c>
      <c r="Y12" s="227">
        <f t="shared" si="0"/>
        <v>153363.30848374579</v>
      </c>
      <c r="Z12" s="227">
        <f t="shared" si="0"/>
        <v>24232.014543815145</v>
      </c>
      <c r="AA12" s="227">
        <f t="shared" si="0"/>
        <v>25993.044262321477</v>
      </c>
      <c r="AB12" s="227">
        <f t="shared" si="0"/>
        <v>11197.11290046357</v>
      </c>
      <c r="AC12" s="227">
        <f t="shared" si="0"/>
        <v>13794.997489669588</v>
      </c>
      <c r="AD12" s="227">
        <f t="shared" si="0"/>
        <v>5604.7041981799739</v>
      </c>
    </row>
    <row r="13" spans="1:30" x14ac:dyDescent="0.25">
      <c r="A13" t="s">
        <v>333</v>
      </c>
      <c r="B13" s="72">
        <f>E15/L15</f>
        <v>2.5325888640946065E-2</v>
      </c>
      <c r="D13" s="30"/>
      <c r="E13" s="58"/>
      <c r="F13" s="58"/>
      <c r="G13" s="58"/>
      <c r="H13" s="58"/>
      <c r="I13" s="58"/>
      <c r="J13" s="58"/>
      <c r="K13" s="58"/>
      <c r="L13" s="58"/>
      <c r="M13" s="58"/>
      <c r="AA13" s="230"/>
    </row>
    <row r="14" spans="1:30" x14ac:dyDescent="0.25">
      <c r="A14" s="24"/>
      <c r="D14" s="30" t="s">
        <v>334</v>
      </c>
      <c r="E14" s="58">
        <f>E11-E6</f>
        <v>361</v>
      </c>
      <c r="F14" s="58">
        <f t="shared" ref="F14:L14" si="2">F11-F6</f>
        <v>21355</v>
      </c>
      <c r="G14" s="58">
        <f t="shared" si="2"/>
        <v>5137</v>
      </c>
      <c r="H14" s="58">
        <f t="shared" si="2"/>
        <v>1004</v>
      </c>
      <c r="I14" s="58">
        <f t="shared" si="2"/>
        <v>2000</v>
      </c>
      <c r="J14" s="58">
        <f t="shared" si="2"/>
        <v>2576</v>
      </c>
      <c r="K14" s="58">
        <f t="shared" si="2"/>
        <v>1001</v>
      </c>
      <c r="L14" s="58">
        <f t="shared" si="2"/>
        <v>15499</v>
      </c>
      <c r="M14" s="80"/>
      <c r="W14" s="25" t="s">
        <v>334</v>
      </c>
      <c r="X14" s="58">
        <f>X11-X6</f>
        <v>20732.988998861096</v>
      </c>
      <c r="Y14" s="58">
        <f t="shared" ref="Y14:AD14" si="3">Y11-Y6</f>
        <v>37377.635146198154</v>
      </c>
      <c r="Z14" s="58">
        <f t="shared" si="3"/>
        <v>6462.6752193798166</v>
      </c>
      <c r="AA14" s="58">
        <f t="shared" si="3"/>
        <v>5722.0730930233185</v>
      </c>
      <c r="AB14" s="58">
        <f t="shared" si="3"/>
        <v>2707.0998142483313</v>
      </c>
      <c r="AC14" s="58">
        <f t="shared" si="3"/>
        <v>3043.9630755830167</v>
      </c>
      <c r="AD14" s="58">
        <f t="shared" si="3"/>
        <v>1089.1313424094533</v>
      </c>
    </row>
    <row r="15" spans="1:30" x14ac:dyDescent="0.25">
      <c r="D15" s="30" t="s">
        <v>335</v>
      </c>
      <c r="E15" s="58">
        <f>E12-E6</f>
        <v>484.95594320055852</v>
      </c>
      <c r="F15" s="58">
        <f t="shared" ref="F15:L15" si="4">F12-F6</f>
        <v>25600.103561563854</v>
      </c>
      <c r="G15" s="58">
        <f t="shared" si="4"/>
        <v>6217.3258639831656</v>
      </c>
      <c r="H15" s="58">
        <f t="shared" si="4"/>
        <v>1403.7210242984002</v>
      </c>
      <c r="I15" s="58">
        <f t="shared" si="4"/>
        <v>2278.684034081718</v>
      </c>
      <c r="J15" s="58">
        <f t="shared" si="4"/>
        <v>2859.2208383485977</v>
      </c>
      <c r="K15" s="58">
        <f t="shared" si="4"/>
        <v>1023.3911307414519</v>
      </c>
      <c r="L15" s="58">
        <f t="shared" si="4"/>
        <v>19148.624953538558</v>
      </c>
      <c r="M15" s="80"/>
      <c r="W15" s="25" t="s">
        <v>335</v>
      </c>
      <c r="X15" s="58">
        <f>X12-X6</f>
        <v>24450.209079693639</v>
      </c>
      <c r="Y15" s="58">
        <f t="shared" ref="Y15:AD15" si="5">Y12-Y6</f>
        <v>44188.137206844345</v>
      </c>
      <c r="Z15" s="58">
        <f t="shared" si="5"/>
        <v>7514.2168698537716</v>
      </c>
      <c r="AA15" s="58">
        <f t="shared" si="5"/>
        <v>7297.092900424348</v>
      </c>
      <c r="AB15" s="58">
        <f t="shared" si="5"/>
        <v>3005.7742939694144</v>
      </c>
      <c r="AC15" s="58">
        <f t="shared" si="5"/>
        <v>3331.2189624240837</v>
      </c>
      <c r="AD15" s="58">
        <f t="shared" si="5"/>
        <v>1113.6499189041006</v>
      </c>
    </row>
    <row r="18" spans="1:2" x14ac:dyDescent="0.25">
      <c r="A18" t="s">
        <v>197</v>
      </c>
      <c r="B18" t="s">
        <v>336</v>
      </c>
    </row>
    <row r="19" spans="1:2" x14ac:dyDescent="0.25">
      <c r="B19" t="s">
        <v>299</v>
      </c>
    </row>
    <row r="20" spans="1:2" x14ac:dyDescent="0.25">
      <c r="B20" t="s">
        <v>337</v>
      </c>
    </row>
    <row r="21" spans="1:2" x14ac:dyDescent="0.25">
      <c r="B21" s="28" t="s">
        <v>301</v>
      </c>
    </row>
    <row r="22" spans="1:2" x14ac:dyDescent="0.25">
      <c r="B22" s="28"/>
    </row>
    <row r="23" spans="1:2" x14ac:dyDescent="0.25">
      <c r="A23" t="s">
        <v>338</v>
      </c>
      <c r="B23" s="28" t="s">
        <v>339</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768DD-2C23-4952-935A-6415DA1FAB0A}">
  <sheetPr>
    <tabColor theme="5" tint="0.59999389629810485"/>
  </sheetPr>
  <dimension ref="A1:AA20"/>
  <sheetViews>
    <sheetView workbookViewId="0">
      <selection activeCell="A6" sqref="A6"/>
    </sheetView>
  </sheetViews>
  <sheetFormatPr defaultRowHeight="15" x14ac:dyDescent="0.25"/>
  <cols>
    <col min="1" max="1" width="18.7109375" customWidth="1"/>
    <col min="2" max="2" width="20.28515625" customWidth="1"/>
    <col min="3" max="3" width="14" customWidth="1"/>
    <col min="4" max="4" width="14.140625" customWidth="1"/>
    <col min="5" max="5" width="12.42578125" customWidth="1"/>
    <col min="6" max="6" width="15.28515625" customWidth="1"/>
    <col min="7" max="9" width="17.42578125" customWidth="1"/>
    <col min="10" max="10" width="5.85546875" customWidth="1"/>
    <col min="11" max="13" width="17.42578125" customWidth="1"/>
    <col min="14" max="14" width="6.5703125" customWidth="1"/>
    <col min="15" max="15" width="21.7109375" customWidth="1"/>
    <col min="16" max="16" width="5.28515625" customWidth="1"/>
    <col min="17" max="17" width="21.7109375" customWidth="1"/>
    <col min="18" max="18" width="5.85546875" customWidth="1"/>
    <col min="19" max="19" width="17" customWidth="1"/>
    <col min="20" max="20" width="20.7109375" customWidth="1"/>
  </cols>
  <sheetData>
    <row r="1" spans="1:27" x14ac:dyDescent="0.25">
      <c r="A1" s="24" t="s">
        <v>340</v>
      </c>
    </row>
    <row r="2" spans="1:27" x14ac:dyDescent="0.25">
      <c r="A2" t="s">
        <v>38</v>
      </c>
    </row>
    <row r="3" spans="1:27" x14ac:dyDescent="0.25">
      <c r="A3" s="24"/>
    </row>
    <row r="4" spans="1:27" x14ac:dyDescent="0.25">
      <c r="A4" t="s">
        <v>284</v>
      </c>
      <c r="F4" s="24"/>
      <c r="G4" s="298" t="s">
        <v>341</v>
      </c>
      <c r="H4" s="298"/>
      <c r="I4" s="298"/>
      <c r="J4" s="74"/>
      <c r="K4" s="298" t="s">
        <v>342</v>
      </c>
      <c r="L4" s="298"/>
      <c r="M4" s="298"/>
      <c r="Q4" s="31"/>
      <c r="R4" s="31"/>
      <c r="S4" s="31"/>
      <c r="T4" s="31"/>
    </row>
    <row r="5" spans="1:27" ht="33.75" customHeight="1" x14ac:dyDescent="0.25">
      <c r="A5" s="53" t="s">
        <v>343</v>
      </c>
      <c r="B5" s="43" t="s">
        <v>344</v>
      </c>
      <c r="C5" s="43" t="s">
        <v>345</v>
      </c>
      <c r="D5" s="43" t="s">
        <v>346</v>
      </c>
      <c r="F5" s="43" t="s">
        <v>343</v>
      </c>
      <c r="G5" s="43">
        <v>2019</v>
      </c>
      <c r="H5" s="43">
        <v>2024</v>
      </c>
      <c r="I5" s="43" t="s">
        <v>332</v>
      </c>
      <c r="J5" s="43"/>
      <c r="K5" s="43">
        <v>2019</v>
      </c>
      <c r="L5" s="43">
        <v>2024</v>
      </c>
      <c r="M5" s="43" t="s">
        <v>332</v>
      </c>
      <c r="N5" s="43"/>
      <c r="O5" s="43" t="s">
        <v>347</v>
      </c>
      <c r="P5" s="43"/>
      <c r="Q5" s="43" t="s">
        <v>344</v>
      </c>
      <c r="R5" s="43"/>
      <c r="S5" s="43" t="s">
        <v>348</v>
      </c>
      <c r="T5" s="43" t="s">
        <v>349</v>
      </c>
      <c r="U5" s="31"/>
      <c r="V5" s="31"/>
      <c r="W5" s="31"/>
      <c r="X5" s="54"/>
      <c r="Y5" s="54"/>
      <c r="Z5" s="31"/>
      <c r="AA5" s="31"/>
    </row>
    <row r="6" spans="1:27" x14ac:dyDescent="0.25">
      <c r="A6" s="30" t="s">
        <v>350</v>
      </c>
      <c r="B6" s="231">
        <f>Q7</f>
        <v>3.9148239553696416E-2</v>
      </c>
      <c r="C6" s="228">
        <f t="shared" ref="C6:D10" si="0">ROUND(S7,-1)</f>
        <v>8000</v>
      </c>
      <c r="D6" s="57">
        <f t="shared" si="0"/>
        <v>310</v>
      </c>
      <c r="F6" s="74" t="s">
        <v>351</v>
      </c>
      <c r="G6" s="48">
        <v>1472</v>
      </c>
      <c r="H6" s="48">
        <v>1833</v>
      </c>
      <c r="I6" s="48">
        <f>H6*'Res bills % expenditure&amp;income'!$N$21/'Res bills % expenditure&amp;income'!$N$20</f>
        <v>1956.9559432005585</v>
      </c>
      <c r="J6" s="46"/>
      <c r="K6" s="48">
        <v>63036</v>
      </c>
      <c r="L6" s="48">
        <v>78535</v>
      </c>
      <c r="M6" s="48">
        <f>L6*'Res bills % expenditure&amp;income'!$K$21/'Res bills % expenditure&amp;income'!$K$20</f>
        <v>82184.624953538558</v>
      </c>
      <c r="N6" s="46"/>
      <c r="O6" s="46">
        <f>(H6-G6)/(L6-K6)</f>
        <v>2.3291825279050261E-2</v>
      </c>
      <c r="P6" s="74"/>
      <c r="Q6" s="46">
        <f>(I6-G6)/(M6-K6)</f>
        <v>2.5325888640946065E-2</v>
      </c>
      <c r="R6" s="232"/>
      <c r="S6" s="48">
        <f>M6-K6</f>
        <v>19148.624953538558</v>
      </c>
      <c r="T6" s="48">
        <f>I6-G6</f>
        <v>484.95594320055852</v>
      </c>
      <c r="V6" s="230"/>
      <c r="W6" s="233"/>
      <c r="X6" s="85"/>
      <c r="AA6" s="233"/>
    </row>
    <row r="7" spans="1:27" x14ac:dyDescent="0.25">
      <c r="A7" s="187">
        <v>0.4</v>
      </c>
      <c r="B7" s="231">
        <f>Q8</f>
        <v>3.6630909245088633E-2</v>
      </c>
      <c r="C7" s="228">
        <f t="shared" si="0"/>
        <v>11910</v>
      </c>
      <c r="D7" s="57">
        <f t="shared" si="0"/>
        <v>440</v>
      </c>
      <c r="F7" s="30" t="s">
        <v>350</v>
      </c>
      <c r="G7" s="48">
        <v>1049</v>
      </c>
      <c r="H7" s="48">
        <v>1276</v>
      </c>
      <c r="I7" s="48">
        <f>H7*'Res bills % expenditure&amp;income'!$N$21/'Res bills % expenditure&amp;income'!$N$20</f>
        <v>1362.2890253812943</v>
      </c>
      <c r="J7" s="46"/>
      <c r="K7" s="48">
        <v>28672</v>
      </c>
      <c r="L7" s="48">
        <v>35046</v>
      </c>
      <c r="M7" s="48">
        <f>L7*'Res bills % expenditure&amp;income'!$K$21/'Res bills % expenditure&amp;income'!$K$20</f>
        <v>36674.633808132843</v>
      </c>
      <c r="N7" s="46"/>
      <c r="O7" s="46">
        <f t="shared" ref="O7:O11" si="1">(H7-G7)/(L7-K7)</f>
        <v>3.561342955757766E-2</v>
      </c>
      <c r="P7" s="30"/>
      <c r="Q7" s="46">
        <f>(I7-G7)/(M7-K7)</f>
        <v>3.9148239553696416E-2</v>
      </c>
      <c r="R7" s="232"/>
      <c r="S7" s="48">
        <f>M7-K7</f>
        <v>8002.6338081328431</v>
      </c>
      <c r="T7" s="48">
        <f>I7-G7</f>
        <v>313.28902538129432</v>
      </c>
      <c r="V7" s="230"/>
      <c r="X7" s="85"/>
      <c r="AA7" s="233"/>
    </row>
    <row r="8" spans="1:27" x14ac:dyDescent="0.25">
      <c r="A8" s="187">
        <v>0.6</v>
      </c>
      <c r="B8" s="231">
        <f>Q9</f>
        <v>2.8861438174296348E-2</v>
      </c>
      <c r="C8" s="228">
        <f t="shared" si="0"/>
        <v>16960</v>
      </c>
      <c r="D8" s="57">
        <f t="shared" si="0"/>
        <v>490</v>
      </c>
      <c r="F8" s="234">
        <v>0.4</v>
      </c>
      <c r="G8" s="48">
        <v>1351</v>
      </c>
      <c r="H8" s="48">
        <v>1674</v>
      </c>
      <c r="I8" s="48">
        <f>H8*'Res bills % expenditure&amp;income'!$N$21/'Res bills % expenditure&amp;income'!$N$20</f>
        <v>1787.2036273419176</v>
      </c>
      <c r="J8" s="46"/>
      <c r="K8" s="48">
        <v>40472</v>
      </c>
      <c r="L8" s="48">
        <v>50054</v>
      </c>
      <c r="M8" s="48">
        <f>L8*'Res bills % expenditure&amp;income'!$K$21/'Res bills % expenditure&amp;income'!$K$20</f>
        <v>52380.075347608319</v>
      </c>
      <c r="N8" s="46"/>
      <c r="O8" s="46">
        <f t="shared" si="1"/>
        <v>3.3709037779169275E-2</v>
      </c>
      <c r="P8" s="234"/>
      <c r="Q8" s="46">
        <f t="shared" ref="Q8:Q11" si="2">(I8-G8)/(M8-K8)</f>
        <v>3.6630909245088633E-2</v>
      </c>
      <c r="R8" s="232"/>
      <c r="S8" s="48">
        <f>M8-K8</f>
        <v>11908.075347608319</v>
      </c>
      <c r="T8" s="48">
        <f t="shared" ref="T8:T10" si="3">I8-G8</f>
        <v>436.20362734191758</v>
      </c>
      <c r="V8" s="230"/>
      <c r="X8" s="85"/>
      <c r="AA8" s="233"/>
    </row>
    <row r="9" spans="1:27" x14ac:dyDescent="0.25">
      <c r="A9" s="187">
        <v>0.8</v>
      </c>
      <c r="B9" s="231">
        <f>Q10</f>
        <v>2.4926096422486981E-2</v>
      </c>
      <c r="C9" s="228">
        <f t="shared" si="0"/>
        <v>22980</v>
      </c>
      <c r="D9" s="57">
        <f t="shared" si="0"/>
        <v>570</v>
      </c>
      <c r="F9" s="234">
        <v>0.6</v>
      </c>
      <c r="G9" s="48">
        <v>1446</v>
      </c>
      <c r="H9" s="48">
        <v>1813</v>
      </c>
      <c r="I9" s="48">
        <f>H9*'Res bills % expenditure&amp;income'!$N$21/'Res bills % expenditure&amp;income'!$N$20</f>
        <v>1935.603450639723</v>
      </c>
      <c r="J9" s="46"/>
      <c r="K9" s="48">
        <v>53045</v>
      </c>
      <c r="L9" s="48">
        <v>66900</v>
      </c>
      <c r="M9" s="48">
        <f>L9*'Res bills % expenditure&amp;income'!$K$21/'Res bills % expenditure&amp;income'!$K$20</f>
        <v>70008.931169436939</v>
      </c>
      <c r="N9" s="46"/>
      <c r="O9" s="46">
        <f t="shared" si="1"/>
        <v>2.6488632262721041E-2</v>
      </c>
      <c r="P9" s="234"/>
      <c r="Q9" s="46">
        <f t="shared" si="2"/>
        <v>2.8861438174296348E-2</v>
      </c>
      <c r="R9" s="232"/>
      <c r="S9" s="48">
        <f t="shared" ref="S9:S11" si="4">M9-K9</f>
        <v>16963.931169436939</v>
      </c>
      <c r="T9" s="48">
        <f t="shared" si="3"/>
        <v>489.60345063972295</v>
      </c>
      <c r="V9" s="230"/>
      <c r="X9" s="85"/>
      <c r="AA9" s="233"/>
    </row>
    <row r="10" spans="1:27" x14ac:dyDescent="0.25">
      <c r="A10" s="30" t="s">
        <v>352</v>
      </c>
      <c r="B10" s="231">
        <f>Q11</f>
        <v>1.7134155326136016E-2</v>
      </c>
      <c r="C10" s="228">
        <f t="shared" si="0"/>
        <v>35760</v>
      </c>
      <c r="D10" s="57">
        <f t="shared" si="0"/>
        <v>610</v>
      </c>
      <c r="F10" s="234">
        <v>0.8</v>
      </c>
      <c r="G10" s="48">
        <v>1587</v>
      </c>
      <c r="H10" s="48">
        <v>2023</v>
      </c>
      <c r="I10" s="48">
        <f>H10*'Res bills % expenditure&amp;income'!$N$21/'Res bills % expenditure&amp;income'!$N$20</f>
        <v>2159.8046225284943</v>
      </c>
      <c r="J10" s="46"/>
      <c r="K10" s="48">
        <v>71173</v>
      </c>
      <c r="L10" s="48">
        <v>89972</v>
      </c>
      <c r="M10" s="48">
        <f>L10*'Res bills % expenditure&amp;income'!$K$21/'Res bills % expenditure&amp;income'!$K$20</f>
        <v>94153.117416690278</v>
      </c>
      <c r="N10" s="46"/>
      <c r="O10" s="46">
        <f t="shared" si="1"/>
        <v>2.3192723017181765E-2</v>
      </c>
      <c r="P10" s="234"/>
      <c r="Q10" s="46">
        <f t="shared" si="2"/>
        <v>2.4926096422486981E-2</v>
      </c>
      <c r="R10" s="232"/>
      <c r="S10" s="48">
        <f t="shared" si="4"/>
        <v>22980.117416690278</v>
      </c>
      <c r="T10" s="48">
        <f t="shared" si="3"/>
        <v>572.80462252849429</v>
      </c>
      <c r="V10" s="230"/>
      <c r="X10" s="85"/>
      <c r="AA10" s="233"/>
    </row>
    <row r="11" spans="1:27" x14ac:dyDescent="0.25">
      <c r="B11" s="57"/>
      <c r="F11" s="234" t="s">
        <v>352</v>
      </c>
      <c r="G11" s="48">
        <v>1924</v>
      </c>
      <c r="H11" s="48">
        <v>2376</v>
      </c>
      <c r="I11" s="48">
        <f>H11*'Res bills % expenditure&amp;income'!$N$21/'Res bills % expenditure&amp;income'!$N$20</f>
        <v>2536.6761162272378</v>
      </c>
      <c r="J11" s="46"/>
      <c r="K11" s="48">
        <v>121571</v>
      </c>
      <c r="L11" s="48">
        <v>150342</v>
      </c>
      <c r="M11" s="48">
        <f>L11*'Res bills % expenditure&amp;income'!$K$21/'Res bills % expenditure&amp;income'!$K$20</f>
        <v>157328.59088005213</v>
      </c>
      <c r="N11" s="46"/>
      <c r="O11" s="46">
        <f t="shared" si="1"/>
        <v>1.5710263807305967E-2</v>
      </c>
      <c r="P11" s="234"/>
      <c r="Q11" s="46">
        <f t="shared" si="2"/>
        <v>1.7134155326136016E-2</v>
      </c>
      <c r="R11" s="232"/>
      <c r="S11" s="48">
        <f t="shared" si="4"/>
        <v>35757.590880052128</v>
      </c>
      <c r="T11" s="48">
        <f>I11-G11</f>
        <v>612.6761162272378</v>
      </c>
      <c r="V11" s="230"/>
      <c r="X11" s="85"/>
      <c r="AA11" s="233"/>
    </row>
    <row r="12" spans="1:27" x14ac:dyDescent="0.25">
      <c r="B12" s="85"/>
      <c r="I12" s="30"/>
      <c r="J12" s="30"/>
      <c r="K12" s="235"/>
      <c r="L12" s="236"/>
      <c r="M12" s="25"/>
      <c r="N12" s="237"/>
      <c r="O12" s="238"/>
      <c r="P12" s="239"/>
      <c r="Q12" s="25"/>
      <c r="R12" s="237"/>
      <c r="S12" s="25"/>
      <c r="T12" s="237"/>
      <c r="V12" s="230"/>
      <c r="W12" s="233"/>
      <c r="X12" s="85"/>
      <c r="Z12" s="85"/>
      <c r="AA12" s="233"/>
    </row>
    <row r="15" spans="1:27" x14ac:dyDescent="0.25">
      <c r="A15" t="s">
        <v>197</v>
      </c>
      <c r="B15" t="s">
        <v>336</v>
      </c>
    </row>
    <row r="16" spans="1:27" x14ac:dyDescent="0.25">
      <c r="B16" t="s">
        <v>337</v>
      </c>
    </row>
    <row r="17" spans="1:2" x14ac:dyDescent="0.25">
      <c r="B17" s="28" t="s">
        <v>301</v>
      </c>
    </row>
    <row r="19" spans="1:2" x14ac:dyDescent="0.25">
      <c r="A19" t="s">
        <v>338</v>
      </c>
      <c r="B19" s="28" t="s">
        <v>353</v>
      </c>
    </row>
    <row r="20" spans="1:2" x14ac:dyDescent="0.25">
      <c r="B20" s="28" t="s">
        <v>354</v>
      </c>
    </row>
  </sheetData>
  <mergeCells count="2">
    <mergeCell ref="G4:I4"/>
    <mergeCell ref="K4:M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66</vt:i4>
      </vt:variant>
      <vt:variant>
        <vt:lpstr>Named Ranges</vt:lpstr>
      </vt:variant>
      <vt:variant>
        <vt:i4>51</vt:i4>
      </vt:variant>
    </vt:vector>
  </HeadingPairs>
  <TitlesOfParts>
    <vt:vector size="117" baseType="lpstr">
      <vt:lpstr>Introduction</vt:lpstr>
      <vt:lpstr>Contents</vt:lpstr>
      <vt:lpstr>Inflation adjustment</vt:lpstr>
      <vt:lpstr>National average retail price</vt:lpstr>
      <vt:lpstr>Average price trends by sector</vt:lpstr>
      <vt:lpstr>Indexed household expenditures</vt:lpstr>
      <vt:lpstr>Res bills % expenditure&amp;income</vt:lpstr>
      <vt:lpstr>Change residential expenditures</vt:lpstr>
      <vt:lpstr>Share of change by income</vt:lpstr>
      <vt:lpstr>State retail prices in 2025</vt:lpstr>
      <vt:lpstr>Change in state retail prices</vt:lpstr>
      <vt:lpstr>Change in residential prices</vt:lpstr>
      <vt:lpstr>Residential prices in 2025</vt:lpstr>
      <vt:lpstr>Residential bills in 2025</vt:lpstr>
      <vt:lpstr>State electricity burden</vt:lpstr>
      <vt:lpstr>Electricity burden by income</vt:lpstr>
      <vt:lpstr>Regional burden by income</vt:lpstr>
      <vt:lpstr>Energy insecurity</vt:lpstr>
      <vt:lpstr>Change in state prices 2024-25</vt:lpstr>
      <vt:lpstr>Change in res. prices 2024-25</vt:lpstr>
      <vt:lpstr>Primary drivers of price change</vt:lpstr>
      <vt:lpstr>Natural gas forecast &amp; actual </vt:lpstr>
      <vt:lpstr>Nat'l wholesale energy prices</vt:lpstr>
      <vt:lpstr>Wholesale &amp; gas price change</vt:lpstr>
      <vt:lpstr>PJM capacity prices</vt:lpstr>
      <vt:lpstr>IOU generation CapEx</vt:lpstr>
      <vt:lpstr>IOU distribution costs</vt:lpstr>
      <vt:lpstr>ISO-NE transmission costs</vt:lpstr>
      <vt:lpstr>Distribution price estimates</vt:lpstr>
      <vt:lpstr>Transmission price estimates</vt:lpstr>
      <vt:lpstr>Bus. operations cost estimates</vt:lpstr>
      <vt:lpstr>IOU T&amp;D relative to total price</vt:lpstr>
      <vt:lpstr>Type of T&amp;D investment</vt:lpstr>
      <vt:lpstr>T&amp;D equipment costs</vt:lpstr>
      <vt:lpstr>Storm recovery impacts</vt:lpstr>
      <vt:lpstr>Wildfire mitigation impacts</vt:lpstr>
      <vt:lpstr>State RPS</vt:lpstr>
      <vt:lpstr>Net metering</vt:lpstr>
      <vt:lpstr>Carbon cap-and-trade</vt:lpstr>
      <vt:lpstr>Utility-scale wind and solar</vt:lpstr>
      <vt:lpstr>Average gas share</vt:lpstr>
      <vt:lpstr>Regional gas price fluctuations</vt:lpstr>
      <vt:lpstr>Average coal and nuclear share</vt:lpstr>
      <vt:lpstr>Thermal plant retirements</vt:lpstr>
      <vt:lpstr>Capacity markets</vt:lpstr>
      <vt:lpstr>IOU Interest+Income</vt:lpstr>
      <vt:lpstr>Supplier type and prices</vt:lpstr>
      <vt:lpstr>Growth in national retail sales</vt:lpstr>
      <vt:lpstr>State growth in retail sales</vt:lpstr>
      <vt:lpstr>State load growth vs. prices</vt:lpstr>
      <vt:lpstr>ND, NM, NE load vs price</vt:lpstr>
      <vt:lpstr>ND, NM, NE sectoral impacts</vt:lpstr>
      <vt:lpstr>ND, NM, NE generation stacks</vt:lpstr>
      <vt:lpstr>PJM capacity auction prices</vt:lpstr>
      <vt:lpstr>National prices, by sector</vt:lpstr>
      <vt:lpstr>C&amp;I discount, by state</vt:lpstr>
      <vt:lpstr>Load growth possible benefits</vt:lpstr>
      <vt:lpstr>Most-recent retail price change</vt:lpstr>
      <vt:lpstr>Utility rate change requests</vt:lpstr>
      <vt:lpstr>Rate increase approvals</vt:lpstr>
      <vt:lpstr>Regional rate approvals</vt:lpstr>
      <vt:lpstr>Utility ROE requests</vt:lpstr>
      <vt:lpstr>Utility ROE authorizations</vt:lpstr>
      <vt:lpstr>Annual IOU CapEx</vt:lpstr>
      <vt:lpstr>Natural gas plant costs</vt:lpstr>
      <vt:lpstr>Solar and wind PPA prices</vt:lpstr>
      <vt:lpstr>'State electricity burden'!heid_259464</vt:lpstr>
      <vt:lpstr>'State electricity burden'!heid_259465</vt:lpstr>
      <vt:lpstr>'State electricity burden'!heid_259466</vt:lpstr>
      <vt:lpstr>'State electricity burden'!heid_259467</vt:lpstr>
      <vt:lpstr>'State electricity burden'!heid_259468</vt:lpstr>
      <vt:lpstr>'State electricity burden'!heid_259469</vt:lpstr>
      <vt:lpstr>'State electricity burden'!heid_259470</vt:lpstr>
      <vt:lpstr>'State electricity burden'!heid_259471</vt:lpstr>
      <vt:lpstr>'State electricity burden'!heid_259472</vt:lpstr>
      <vt:lpstr>'State electricity burden'!heid_259473</vt:lpstr>
      <vt:lpstr>'State electricity burden'!heid_259474</vt:lpstr>
      <vt:lpstr>'State electricity burden'!heid_259475</vt:lpstr>
      <vt:lpstr>'State electricity burden'!heid_259476</vt:lpstr>
      <vt:lpstr>'State electricity burden'!heid_259477</vt:lpstr>
      <vt:lpstr>'State electricity burden'!heid_259478</vt:lpstr>
      <vt:lpstr>'State electricity burden'!heid_259479</vt:lpstr>
      <vt:lpstr>'State electricity burden'!heid_259480</vt:lpstr>
      <vt:lpstr>'State electricity burden'!heid_259481</vt:lpstr>
      <vt:lpstr>'State electricity burden'!heid_259482</vt:lpstr>
      <vt:lpstr>'State electricity burden'!heid_259483</vt:lpstr>
      <vt:lpstr>'State electricity burden'!heid_259484</vt:lpstr>
      <vt:lpstr>'State electricity burden'!heid_259485</vt:lpstr>
      <vt:lpstr>'State electricity burden'!heid_259486</vt:lpstr>
      <vt:lpstr>'State electricity burden'!heid_259487</vt:lpstr>
      <vt:lpstr>'State electricity burden'!heid_259488</vt:lpstr>
      <vt:lpstr>'State electricity burden'!heid_259489</vt:lpstr>
      <vt:lpstr>'State electricity burden'!heid_259490</vt:lpstr>
      <vt:lpstr>'State electricity burden'!heid_259491</vt:lpstr>
      <vt:lpstr>'State electricity burden'!heid_259492</vt:lpstr>
      <vt:lpstr>'State electricity burden'!heid_259493</vt:lpstr>
      <vt:lpstr>'State electricity burden'!heid_259494</vt:lpstr>
      <vt:lpstr>'State electricity burden'!heid_259495</vt:lpstr>
      <vt:lpstr>'State electricity burden'!heid_259496</vt:lpstr>
      <vt:lpstr>'State electricity burden'!heid_259497</vt:lpstr>
      <vt:lpstr>'State electricity burden'!heid_259498</vt:lpstr>
      <vt:lpstr>'State electricity burden'!heid_259499</vt:lpstr>
      <vt:lpstr>'State electricity burden'!heid_259500</vt:lpstr>
      <vt:lpstr>'State electricity burden'!heid_259501</vt:lpstr>
      <vt:lpstr>'State electricity burden'!heid_259502</vt:lpstr>
      <vt:lpstr>'State electricity burden'!heid_259503</vt:lpstr>
      <vt:lpstr>'State electricity burden'!heid_259504</vt:lpstr>
      <vt:lpstr>'State electricity burden'!heid_259505</vt:lpstr>
      <vt:lpstr>'State electricity burden'!heid_259506</vt:lpstr>
      <vt:lpstr>'State electricity burden'!heid_259507</vt:lpstr>
      <vt:lpstr>'State electricity burden'!heid_259508</vt:lpstr>
      <vt:lpstr>'State electricity burden'!heid_259509</vt:lpstr>
      <vt:lpstr>'State electricity burden'!heid_259510</vt:lpstr>
      <vt:lpstr>'State electricity burden'!heid_259511</vt:lpstr>
      <vt:lpstr>'State electricity burden'!heid_259512</vt:lpstr>
      <vt:lpstr>'State electricity burden'!heid_259513</vt:lpstr>
      <vt:lpstr>'State electricity burden'!heid_259514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wiser</dc:creator>
  <cp:keywords/>
  <dc:description/>
  <cp:lastModifiedBy>ryan wiser</cp:lastModifiedBy>
  <cp:revision/>
  <dcterms:created xsi:type="dcterms:W3CDTF">2025-12-10T17:59:31Z</dcterms:created>
  <dcterms:modified xsi:type="dcterms:W3CDTF">2026-07-02T16:13:19Z</dcterms:modified>
  <cp:category/>
  <cp:contentStatus/>
</cp:coreProperties>
</file>